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2.xml" ContentType="application/vnd.openxmlformats-officedocument.drawingml.chart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E:\ELEC\CDI\ACCDI_v7.9\"/>
    </mc:Choice>
  </mc:AlternateContent>
  <xr:revisionPtr revIDLastSave="0" documentId="8_{C65E6DF5-5EB1-401A-9DA2-CE59206ECC31}" xr6:coauthVersionLast="47" xr6:coauthVersionMax="47" xr10:uidLastSave="{00000000-0000-0000-0000-000000000000}"/>
  <bookViews>
    <workbookView xWindow="-120" yWindow="-120" windowWidth="29040" windowHeight="15840" tabRatio="864" firstSheet="1" activeTab="1" xr2:uid="{00000000-000D-0000-FFFF-FFFF00000000}"/>
  </bookViews>
  <sheets>
    <sheet name="README" sheetId="13" r:id="rId1"/>
    <sheet name="Advance_curve" sheetId="1" r:id="rId2"/>
    <sheet name="advance_at_lowRPM" sheetId="3" r:id="rId3"/>
    <sheet name="VeryLowRPM" sheetId="14" r:id="rId4"/>
    <sheet name="EEPROM8" sheetId="6" r:id="rId5"/>
    <sheet name="EEPROM16" sheetId="15" r:id="rId6"/>
    <sheet name="Accuracy" sheetId="12" r:id="rId7"/>
    <sheet name="formules" sheetId="4" r:id="rId8"/>
    <sheet name="Calculs" sheetId="7" r:id="rId9"/>
    <sheet name="Excel" sheetId="8" r:id="rId10"/>
    <sheet name="calibrage" sheetId="9" r:id="rId11"/>
    <sheet name="Dwell variable" sheetId="10" r:id="rId12"/>
    <sheet name="Version" sheetId="11" r:id="rId13"/>
  </sheets>
  <definedNames>
    <definedName name="_xlnm._FilterDatabase" localSheetId="1" hidden="1">Advance_curve!$U$43:$U$74</definedName>
    <definedName name="choix_prescaler">Advance_curve!$U$17:$U$18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35" i="1" l="1"/>
  <c r="K17" i="6" s="1"/>
  <c r="M18" i="15" l="1"/>
  <c r="M25" i="1"/>
  <c r="O36" i="1" l="1"/>
  <c r="O19" i="1"/>
  <c r="O17" i="1"/>
  <c r="K19" i="15"/>
  <c r="J19" i="15"/>
  <c r="I19" i="15"/>
  <c r="H19" i="15"/>
  <c r="G19" i="15"/>
  <c r="H18" i="15"/>
  <c r="G18" i="15"/>
  <c r="L19" i="15"/>
  <c r="I18" i="15"/>
  <c r="F18" i="15"/>
  <c r="C19" i="15"/>
  <c r="C18" i="15"/>
  <c r="S17" i="15"/>
  <c r="T17" i="15" s="1"/>
  <c r="U17" i="15" s="1"/>
  <c r="V17" i="15" s="1"/>
  <c r="W17" i="15" s="1"/>
  <c r="X17" i="15" s="1"/>
  <c r="Y17" i="15" s="1"/>
  <c r="Q17" i="15"/>
  <c r="C17" i="15"/>
  <c r="S16" i="15"/>
  <c r="T16" i="15" s="1"/>
  <c r="U16" i="15" s="1"/>
  <c r="V16" i="15" s="1"/>
  <c r="W16" i="15" s="1"/>
  <c r="X16" i="15" s="1"/>
  <c r="Y16" i="15" s="1"/>
  <c r="Q16" i="15"/>
  <c r="C16" i="15"/>
  <c r="C15" i="15"/>
  <c r="C14" i="15"/>
  <c r="C13" i="15"/>
  <c r="C12" i="15"/>
  <c r="C11" i="15"/>
  <c r="C10" i="15"/>
  <c r="C9" i="15"/>
  <c r="C8" i="15"/>
  <c r="C7" i="15"/>
  <c r="C6" i="15"/>
  <c r="C5" i="15"/>
  <c r="C4" i="15"/>
  <c r="S18" i="15" l="1"/>
  <c r="T18" i="15" s="1"/>
  <c r="U18" i="15" s="1"/>
  <c r="V18" i="15" s="1"/>
  <c r="W18" i="15" s="1"/>
  <c r="X18" i="15" s="1"/>
  <c r="Y18" i="15" s="1"/>
  <c r="O18" i="15" s="1"/>
  <c r="O34" i="1" s="1"/>
  <c r="O17" i="15"/>
  <c r="O33" i="1" s="1"/>
  <c r="O16" i="15"/>
  <c r="O32" i="1" s="1"/>
  <c r="Q18" i="15"/>
  <c r="G15" i="4"/>
  <c r="G12" i="4"/>
  <c r="F20" i="4" l="1"/>
  <c r="I7" i="3" l="1"/>
  <c r="C8" i="14" l="1"/>
  <c r="C4" i="14"/>
  <c r="C6" i="14" s="1"/>
  <c r="C7" i="14" s="1"/>
  <c r="E7" i="14" s="1"/>
  <c r="C9" i="14" l="1"/>
  <c r="D18" i="6" l="1"/>
  <c r="F19" i="15"/>
  <c r="G17" i="6" l="1"/>
  <c r="E18" i="6" l="1"/>
  <c r="D9" i="1" l="1"/>
  <c r="B14" i="13" l="1"/>
  <c r="E9" i="1"/>
  <c r="D48" i="4"/>
  <c r="E48" i="4"/>
  <c r="F48" i="4"/>
  <c r="G48" i="4"/>
  <c r="H48" i="4"/>
  <c r="I48" i="4"/>
  <c r="J48" i="4"/>
  <c r="G49" i="4" s="1"/>
  <c r="G50" i="4" s="1"/>
  <c r="C48" i="4"/>
  <c r="C49" i="4" s="1"/>
  <c r="C50" i="4" s="1"/>
  <c r="C51" i="4" l="1"/>
  <c r="M2" i="4"/>
  <c r="B8" i="12" l="1"/>
  <c r="B9" i="12"/>
  <c r="B10" i="12"/>
  <c r="B11" i="12"/>
  <c r="B12" i="12"/>
  <c r="B13" i="12"/>
  <c r="B14" i="12"/>
  <c r="B15" i="12"/>
  <c r="B16" i="12"/>
  <c r="B7" i="12"/>
  <c r="E5" i="4" l="1"/>
  <c r="H5" i="4" l="1"/>
  <c r="G5" i="4"/>
  <c r="J5" i="4" s="1"/>
  <c r="I5" i="4" l="1"/>
  <c r="F18" i="6"/>
  <c r="C4" i="10" l="1"/>
  <c r="B4" i="10"/>
  <c r="B3" i="10"/>
  <c r="Z124" i="6" l="1"/>
  <c r="Z123" i="6"/>
  <c r="Z122" i="6"/>
  <c r="Z121" i="6"/>
  <c r="Z120" i="6"/>
  <c r="Z119" i="6"/>
  <c r="Z118" i="6"/>
  <c r="Z114" i="6"/>
  <c r="Z113" i="6"/>
  <c r="Z112" i="6"/>
  <c r="Z111" i="6"/>
  <c r="Z110" i="6"/>
  <c r="Z109" i="6"/>
  <c r="Z108" i="6"/>
  <c r="Z107" i="6"/>
  <c r="Z106" i="6"/>
  <c r="Z105" i="6"/>
  <c r="Z104" i="6"/>
  <c r="Z103" i="6"/>
  <c r="Z102" i="6"/>
  <c r="Z101" i="6"/>
  <c r="Z100" i="6"/>
  <c r="Z99" i="6"/>
  <c r="Z98" i="6"/>
  <c r="Z125" i="6" l="1"/>
  <c r="F17" i="6" l="1"/>
  <c r="Z117" i="6" s="1"/>
  <c r="I18" i="6" l="1"/>
  <c r="Z128" i="6" s="1"/>
  <c r="W11" i="9" l="1"/>
  <c r="W19" i="9"/>
  <c r="W27" i="9"/>
  <c r="C27" i="9"/>
  <c r="D27" i="9"/>
  <c r="E27" i="9" s="1"/>
  <c r="X27" i="9"/>
  <c r="T27" i="9" s="1"/>
  <c r="C28" i="9"/>
  <c r="D28" i="9"/>
  <c r="E28" i="9" s="1"/>
  <c r="X28" i="9"/>
  <c r="H28" i="9" s="1"/>
  <c r="C29" i="9"/>
  <c r="D29" i="9"/>
  <c r="E29" i="9" s="1"/>
  <c r="X29" i="9"/>
  <c r="H29" i="9" s="1"/>
  <c r="X4" i="9"/>
  <c r="H4" i="9" s="1"/>
  <c r="X5" i="9"/>
  <c r="H5" i="9" s="1"/>
  <c r="X6" i="9"/>
  <c r="H6" i="9" s="1"/>
  <c r="X7" i="9"/>
  <c r="T7" i="9" s="1"/>
  <c r="X8" i="9"/>
  <c r="H8" i="9" s="1"/>
  <c r="X9" i="9"/>
  <c r="H9" i="9" s="1"/>
  <c r="X10" i="9"/>
  <c r="H10" i="9" s="1"/>
  <c r="X11" i="9"/>
  <c r="T11" i="9" s="1"/>
  <c r="X12" i="9"/>
  <c r="H12" i="9" s="1"/>
  <c r="X13" i="9"/>
  <c r="H13" i="9" s="1"/>
  <c r="X14" i="9"/>
  <c r="H14" i="9" s="1"/>
  <c r="X15" i="9"/>
  <c r="T15" i="9" s="1"/>
  <c r="X16" i="9"/>
  <c r="H16" i="9" s="1"/>
  <c r="X17" i="9"/>
  <c r="H17" i="9" s="1"/>
  <c r="X18" i="9"/>
  <c r="H18" i="9" s="1"/>
  <c r="X19" i="9"/>
  <c r="T19" i="9" s="1"/>
  <c r="X20" i="9"/>
  <c r="H20" i="9" s="1"/>
  <c r="X21" i="9"/>
  <c r="H21" i="9" s="1"/>
  <c r="X22" i="9"/>
  <c r="H22" i="9" s="1"/>
  <c r="X23" i="9"/>
  <c r="T23" i="9" s="1"/>
  <c r="X24" i="9"/>
  <c r="H24" i="9" s="1"/>
  <c r="X25" i="9"/>
  <c r="H25" i="9" s="1"/>
  <c r="X26" i="9"/>
  <c r="H26" i="9" s="1"/>
  <c r="X3" i="9"/>
  <c r="W3" i="9" s="1"/>
  <c r="D4" i="9"/>
  <c r="E4" i="9" s="1"/>
  <c r="D5" i="9"/>
  <c r="E5" i="9" s="1"/>
  <c r="D6" i="9"/>
  <c r="E6" i="9" s="1"/>
  <c r="D7" i="9"/>
  <c r="E7" i="9" s="1"/>
  <c r="D8" i="9"/>
  <c r="E8" i="9" s="1"/>
  <c r="D9" i="9"/>
  <c r="E9" i="9" s="1"/>
  <c r="D10" i="9"/>
  <c r="E10" i="9" s="1"/>
  <c r="D11" i="9"/>
  <c r="E11" i="9" s="1"/>
  <c r="D12" i="9"/>
  <c r="E12" i="9" s="1"/>
  <c r="D13" i="9"/>
  <c r="E13" i="9" s="1"/>
  <c r="D14" i="9"/>
  <c r="E14" i="9" s="1"/>
  <c r="D15" i="9"/>
  <c r="E15" i="9" s="1"/>
  <c r="D16" i="9"/>
  <c r="E16" i="9" s="1"/>
  <c r="D17" i="9"/>
  <c r="E17" i="9" s="1"/>
  <c r="D18" i="9"/>
  <c r="E18" i="9" s="1"/>
  <c r="D19" i="9"/>
  <c r="E19" i="9" s="1"/>
  <c r="D20" i="9"/>
  <c r="E20" i="9" s="1"/>
  <c r="D21" i="9"/>
  <c r="E21" i="9" s="1"/>
  <c r="D22" i="9"/>
  <c r="E22" i="9" s="1"/>
  <c r="D23" i="9"/>
  <c r="E23" i="9" s="1"/>
  <c r="D24" i="9"/>
  <c r="E24" i="9" s="1"/>
  <c r="D25" i="9"/>
  <c r="E25" i="9" s="1"/>
  <c r="D26" i="9"/>
  <c r="E26" i="9" s="1"/>
  <c r="D3" i="9"/>
  <c r="E3" i="9" s="1"/>
  <c r="C4" i="9"/>
  <c r="C5" i="9"/>
  <c r="C6" i="9"/>
  <c r="C7" i="9"/>
  <c r="C8" i="9"/>
  <c r="C9" i="9"/>
  <c r="C10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3" i="9"/>
  <c r="W26" i="9" l="1"/>
  <c r="W18" i="9"/>
  <c r="W10" i="9"/>
  <c r="W25" i="9"/>
  <c r="W17" i="9"/>
  <c r="W9" i="9"/>
  <c r="W24" i="9"/>
  <c r="W16" i="9"/>
  <c r="W8" i="9"/>
  <c r="W23" i="9"/>
  <c r="W15" i="9"/>
  <c r="W7" i="9"/>
  <c r="W22" i="9"/>
  <c r="W14" i="9"/>
  <c r="W6" i="9"/>
  <c r="W29" i="9"/>
  <c r="W21" i="9"/>
  <c r="W13" i="9"/>
  <c r="W5" i="9"/>
  <c r="W28" i="9"/>
  <c r="W20" i="9"/>
  <c r="W12" i="9"/>
  <c r="W4" i="9"/>
  <c r="H27" i="9"/>
  <c r="H11" i="9"/>
  <c r="K29" i="9"/>
  <c r="K25" i="9"/>
  <c r="K21" i="9"/>
  <c r="K17" i="9"/>
  <c r="K13" i="9"/>
  <c r="K9" i="9"/>
  <c r="K5" i="9"/>
  <c r="N28" i="9"/>
  <c r="N24" i="9"/>
  <c r="N20" i="9"/>
  <c r="N16" i="9"/>
  <c r="N12" i="9"/>
  <c r="N8" i="9"/>
  <c r="N4" i="9"/>
  <c r="Q27" i="9"/>
  <c r="Q23" i="9"/>
  <c r="Q19" i="9"/>
  <c r="Q15" i="9"/>
  <c r="Q11" i="9"/>
  <c r="Q7" i="9"/>
  <c r="T3" i="9"/>
  <c r="T26" i="9"/>
  <c r="T22" i="9"/>
  <c r="T18" i="9"/>
  <c r="T14" i="9"/>
  <c r="T10" i="9"/>
  <c r="T6" i="9"/>
  <c r="H23" i="9"/>
  <c r="H7" i="9"/>
  <c r="K28" i="9"/>
  <c r="K24" i="9"/>
  <c r="K20" i="9"/>
  <c r="K16" i="9"/>
  <c r="K12" i="9"/>
  <c r="K8" i="9"/>
  <c r="K4" i="9"/>
  <c r="N27" i="9"/>
  <c r="N23" i="9"/>
  <c r="N19" i="9"/>
  <c r="N15" i="9"/>
  <c r="N11" i="9"/>
  <c r="N7" i="9"/>
  <c r="Q3" i="9"/>
  <c r="Q26" i="9"/>
  <c r="Q22" i="9"/>
  <c r="Q18" i="9"/>
  <c r="Q14" i="9"/>
  <c r="Q10" i="9"/>
  <c r="Q6" i="9"/>
  <c r="T29" i="9"/>
  <c r="T25" i="9"/>
  <c r="T21" i="9"/>
  <c r="T17" i="9"/>
  <c r="T13" i="9"/>
  <c r="T9" i="9"/>
  <c r="T5" i="9"/>
  <c r="H19" i="9"/>
  <c r="H3" i="9"/>
  <c r="K27" i="9"/>
  <c r="K23" i="9"/>
  <c r="K19" i="9"/>
  <c r="K15" i="9"/>
  <c r="K11" i="9"/>
  <c r="K7" i="9"/>
  <c r="N3" i="9"/>
  <c r="N26" i="9"/>
  <c r="N22" i="9"/>
  <c r="N18" i="9"/>
  <c r="N14" i="9"/>
  <c r="N10" i="9"/>
  <c r="N6" i="9"/>
  <c r="Q29" i="9"/>
  <c r="Q25" i="9"/>
  <c r="Q21" i="9"/>
  <c r="Q17" i="9"/>
  <c r="Q13" i="9"/>
  <c r="Q9" i="9"/>
  <c r="Q5" i="9"/>
  <c r="T28" i="9"/>
  <c r="T24" i="9"/>
  <c r="T20" i="9"/>
  <c r="T16" i="9"/>
  <c r="T12" i="9"/>
  <c r="T8" i="9"/>
  <c r="T4" i="9"/>
  <c r="H15" i="9"/>
  <c r="K3" i="9"/>
  <c r="K26" i="9"/>
  <c r="K22" i="9"/>
  <c r="K18" i="9"/>
  <c r="K14" i="9"/>
  <c r="K10" i="9"/>
  <c r="K6" i="9"/>
  <c r="N29" i="9"/>
  <c r="N25" i="9"/>
  <c r="N21" i="9"/>
  <c r="N17" i="9"/>
  <c r="N13" i="9"/>
  <c r="N9" i="9"/>
  <c r="N5" i="9"/>
  <c r="Q28" i="9"/>
  <c r="Q24" i="9"/>
  <c r="Q20" i="9"/>
  <c r="Q16" i="9"/>
  <c r="Q12" i="9"/>
  <c r="Q8" i="9"/>
  <c r="Q4" i="9"/>
  <c r="G18" i="6" l="1"/>
  <c r="Z126" i="6" l="1"/>
  <c r="H18" i="6"/>
  <c r="Z127" i="6" s="1"/>
  <c r="I6" i="3" l="1"/>
  <c r="I5" i="3"/>
  <c r="D20" i="4"/>
  <c r="I4" i="3"/>
  <c r="O8" i="3" l="1"/>
  <c r="E17" i="6" l="1"/>
  <c r="D17" i="6"/>
  <c r="Z115" i="6" s="1"/>
  <c r="O17" i="6" l="1"/>
  <c r="Z116" i="6"/>
  <c r="Q16" i="6"/>
  <c r="R16" i="6"/>
  <c r="S16" i="6" s="1"/>
  <c r="T16" i="6" s="1"/>
  <c r="U16" i="6" s="1"/>
  <c r="Q17" i="6"/>
  <c r="R17" i="6" s="1"/>
  <c r="S17" i="6" s="1"/>
  <c r="T17" i="6" s="1"/>
  <c r="U17" i="6" s="1"/>
  <c r="Q15" i="6"/>
  <c r="V16" i="6" l="1"/>
  <c r="M16" i="6" s="1"/>
  <c r="V17" i="6"/>
  <c r="M17" i="6" s="1"/>
  <c r="R15" i="6"/>
  <c r="S15" i="6" s="1"/>
  <c r="T15" i="6" s="1"/>
  <c r="U15" i="6" s="1"/>
  <c r="V15" i="6" s="1"/>
  <c r="M15" i="6" s="1"/>
  <c r="H3" i="4" l="1"/>
  <c r="G3" i="4"/>
  <c r="J3" i="4" s="1"/>
  <c r="F3" i="4"/>
  <c r="G20" i="4" s="1"/>
  <c r="J20" i="4" l="1"/>
  <c r="K20" i="4" s="1"/>
  <c r="I20" i="4"/>
  <c r="H20" i="4"/>
  <c r="G9" i="4"/>
  <c r="H9" i="4" s="1"/>
  <c r="L3" i="4"/>
  <c r="M3" i="4" s="1"/>
  <c r="I3" i="4"/>
  <c r="O3" i="3"/>
  <c r="L20" i="4" l="1"/>
  <c r="M20" i="4" s="1"/>
  <c r="N20" i="4" s="1"/>
  <c r="O20" i="4" s="1"/>
  <c r="N17" i="4" s="1"/>
  <c r="K19" i="4"/>
  <c r="O15" i="6"/>
  <c r="O16" i="6"/>
  <c r="Q18" i="1" l="1"/>
  <c r="S17" i="1"/>
  <c r="Q32" i="1"/>
  <c r="Q33" i="1"/>
  <c r="Q34" i="1"/>
  <c r="J18" i="6" l="1"/>
  <c r="Z129" i="6" l="1"/>
  <c r="S36" i="1"/>
  <c r="S19" i="1"/>
  <c r="S32" i="1" l="1"/>
  <c r="A17" i="6"/>
  <c r="A18" i="6"/>
  <c r="A15" i="6"/>
  <c r="A16" i="6"/>
  <c r="A13" i="6"/>
  <c r="A14" i="6"/>
  <c r="A4" i="6"/>
  <c r="A5" i="6"/>
  <c r="A6" i="6"/>
  <c r="A7" i="6"/>
  <c r="A8" i="6"/>
  <c r="A9" i="6"/>
  <c r="A10" i="6"/>
  <c r="A11" i="6"/>
  <c r="A12" i="6"/>
  <c r="S34" i="1" l="1"/>
  <c r="S33" i="1"/>
  <c r="A3" i="6"/>
  <c r="B10" i="1"/>
  <c r="D10" i="1" s="1"/>
  <c r="E10" i="1" s="1"/>
  <c r="C5" i="10" l="1"/>
  <c r="B5" i="10"/>
  <c r="B11" i="1"/>
  <c r="D11" i="1" s="1"/>
  <c r="E11" i="1" s="1"/>
  <c r="C6" i="10" l="1"/>
  <c r="B6" i="10"/>
  <c r="B12" i="1"/>
  <c r="D12" i="1" s="1"/>
  <c r="E12" i="1" s="1"/>
  <c r="C7" i="10" l="1"/>
  <c r="B7" i="10"/>
  <c r="B13" i="1"/>
  <c r="D13" i="1" s="1"/>
  <c r="E13" i="1" s="1"/>
  <c r="C9" i="1"/>
  <c r="B8" i="10" l="1"/>
  <c r="C8" i="10"/>
  <c r="B14" i="1"/>
  <c r="D14" i="1" s="1"/>
  <c r="E14" i="1" s="1"/>
  <c r="O2" i="3"/>
  <c r="C9" i="10" l="1"/>
  <c r="B9" i="10"/>
  <c r="B15" i="1"/>
  <c r="D15" i="1" s="1"/>
  <c r="E15" i="1" s="1"/>
  <c r="G9" i="1"/>
  <c r="H9" i="1"/>
  <c r="I9" i="1" s="1"/>
  <c r="K9" i="1" s="1"/>
  <c r="C10" i="10" l="1"/>
  <c r="B10" i="10"/>
  <c r="J9" i="1"/>
  <c r="F4" i="15" s="1"/>
  <c r="B16" i="1"/>
  <c r="D16" i="1" s="1"/>
  <c r="E16" i="1" s="1"/>
  <c r="H10" i="1"/>
  <c r="I10" i="1" s="1"/>
  <c r="K10" i="1" s="1"/>
  <c r="C10" i="1"/>
  <c r="G11" i="1"/>
  <c r="C11" i="1"/>
  <c r="X9" i="1" l="1"/>
  <c r="B11" i="10"/>
  <c r="C11" i="10"/>
  <c r="J10" i="1"/>
  <c r="G4" i="15" s="1"/>
  <c r="B17" i="1"/>
  <c r="D17" i="1" s="1"/>
  <c r="E17" i="1" s="1"/>
  <c r="G10" i="1"/>
  <c r="H11" i="1"/>
  <c r="I11" i="1" s="1"/>
  <c r="K11" i="1" s="1"/>
  <c r="D3" i="6"/>
  <c r="J7" i="1"/>
  <c r="G12" i="1"/>
  <c r="C12" i="1"/>
  <c r="B12" i="10" l="1"/>
  <c r="C12" i="10"/>
  <c r="Z3" i="6"/>
  <c r="J11" i="1"/>
  <c r="H12" i="1"/>
  <c r="I12" i="1" s="1"/>
  <c r="K12" i="1" s="1"/>
  <c r="B18" i="1"/>
  <c r="D18" i="1" s="1"/>
  <c r="E18" i="1" s="1"/>
  <c r="X10" i="1"/>
  <c r="G13" i="1"/>
  <c r="C13" i="1"/>
  <c r="F3" i="6" l="1"/>
  <c r="Z5" i="6" s="1"/>
  <c r="H4" i="15"/>
  <c r="X11" i="1"/>
  <c r="C13" i="10"/>
  <c r="B13" i="10"/>
  <c r="J12" i="1"/>
  <c r="E3" i="6"/>
  <c r="B19" i="1"/>
  <c r="D19" i="1" s="1"/>
  <c r="E19" i="1" s="1"/>
  <c r="H13" i="1"/>
  <c r="I13" i="1" s="1"/>
  <c r="K13" i="1" s="1"/>
  <c r="G14" i="1"/>
  <c r="C14" i="1"/>
  <c r="G3" i="6" l="1"/>
  <c r="Z6" i="6" s="1"/>
  <c r="I4" i="15"/>
  <c r="C14" i="10"/>
  <c r="B14" i="10"/>
  <c r="Z4" i="6"/>
  <c r="X12" i="1"/>
  <c r="J13" i="1"/>
  <c r="B20" i="1"/>
  <c r="D20" i="1" s="1"/>
  <c r="E20" i="1" s="1"/>
  <c r="H14" i="1"/>
  <c r="I14" i="1" s="1"/>
  <c r="K14" i="1" s="1"/>
  <c r="G15" i="1"/>
  <c r="C15" i="1"/>
  <c r="H3" i="6" l="1"/>
  <c r="Z7" i="6" s="1"/>
  <c r="J4" i="15"/>
  <c r="C15" i="10"/>
  <c r="B15" i="10"/>
  <c r="X13" i="1"/>
  <c r="J14" i="1"/>
  <c r="B21" i="1"/>
  <c r="D21" i="1" s="1"/>
  <c r="E21" i="1" s="1"/>
  <c r="H15" i="1"/>
  <c r="I15" i="1" s="1"/>
  <c r="K15" i="1" s="1"/>
  <c r="G16" i="1"/>
  <c r="C16" i="1"/>
  <c r="I3" i="6" l="1"/>
  <c r="Z8" i="6" s="1"/>
  <c r="K4" i="15"/>
  <c r="C16" i="10"/>
  <c r="B16" i="10"/>
  <c r="X14" i="1"/>
  <c r="J15" i="1"/>
  <c r="B22" i="1"/>
  <c r="D22" i="1" s="1"/>
  <c r="E22" i="1" s="1"/>
  <c r="H16" i="1"/>
  <c r="I16" i="1" s="1"/>
  <c r="K16" i="1" s="1"/>
  <c r="H17" i="1"/>
  <c r="I17" i="1" s="1"/>
  <c r="K17" i="1" s="1"/>
  <c r="C17" i="1"/>
  <c r="J3" i="6" l="1"/>
  <c r="Z9" i="6" s="1"/>
  <c r="L4" i="15"/>
  <c r="C17" i="10"/>
  <c r="B17" i="10"/>
  <c r="J17" i="1"/>
  <c r="F5" i="15" s="1"/>
  <c r="X15" i="1"/>
  <c r="J16" i="1"/>
  <c r="B23" i="1"/>
  <c r="D23" i="1" s="1"/>
  <c r="E23" i="1" s="1"/>
  <c r="G17" i="1"/>
  <c r="G18" i="1"/>
  <c r="C18" i="1"/>
  <c r="X16" i="1" l="1"/>
  <c r="M4" i="15"/>
  <c r="C18" i="10"/>
  <c r="B18" i="10"/>
  <c r="K3" i="6"/>
  <c r="Q3" i="6" s="1"/>
  <c r="R3" i="6" s="1"/>
  <c r="S3" i="6" s="1"/>
  <c r="T3" i="6" s="1"/>
  <c r="U3" i="6" s="1"/>
  <c r="B24" i="1"/>
  <c r="D24" i="1" s="1"/>
  <c r="E24" i="1" s="1"/>
  <c r="D4" i="6"/>
  <c r="Z11" i="6" s="1"/>
  <c r="H18" i="1"/>
  <c r="I18" i="1" s="1"/>
  <c r="K18" i="1" s="1"/>
  <c r="H19" i="1"/>
  <c r="I19" i="1" s="1"/>
  <c r="K19" i="1" s="1"/>
  <c r="C19" i="1"/>
  <c r="S4" i="15" l="1"/>
  <c r="T4" i="15" s="1"/>
  <c r="U4" i="15" s="1"/>
  <c r="V4" i="15" s="1"/>
  <c r="W4" i="15" s="1"/>
  <c r="X4" i="15" s="1"/>
  <c r="Y4" i="15" s="1"/>
  <c r="O4" i="15" s="1"/>
  <c r="O20" i="1" s="1"/>
  <c r="Q4" i="15"/>
  <c r="B19" i="10"/>
  <c r="C19" i="10"/>
  <c r="V3" i="6"/>
  <c r="M3" i="6" s="1"/>
  <c r="S20" i="1" s="1"/>
  <c r="Z10" i="6"/>
  <c r="O3" i="6"/>
  <c r="Q20" i="1" s="1"/>
  <c r="J19" i="1"/>
  <c r="H5" i="15" s="1"/>
  <c r="J18" i="1"/>
  <c r="G19" i="1"/>
  <c r="X17" i="1"/>
  <c r="B25" i="1"/>
  <c r="D25" i="1" s="1"/>
  <c r="E25" i="1" s="1"/>
  <c r="G20" i="1"/>
  <c r="C20" i="1"/>
  <c r="E4" i="6" l="1"/>
  <c r="Z12" i="6" s="1"/>
  <c r="G5" i="15"/>
  <c r="B20" i="10"/>
  <c r="C20" i="10"/>
  <c r="X18" i="1"/>
  <c r="B26" i="1"/>
  <c r="D26" i="1" s="1"/>
  <c r="E26" i="1" s="1"/>
  <c r="H20" i="1"/>
  <c r="I20" i="1" s="1"/>
  <c r="K20" i="1" s="1"/>
  <c r="G21" i="1"/>
  <c r="C21" i="1"/>
  <c r="F4" i="6"/>
  <c r="Z13" i="6" s="1"/>
  <c r="X19" i="1"/>
  <c r="C21" i="10" l="1"/>
  <c r="B21" i="10"/>
  <c r="J20" i="1"/>
  <c r="B27" i="1"/>
  <c r="D27" i="1" s="1"/>
  <c r="E27" i="1" s="1"/>
  <c r="H21" i="1"/>
  <c r="I21" i="1" s="1"/>
  <c r="K21" i="1" s="1"/>
  <c r="G22" i="1"/>
  <c r="C22" i="1"/>
  <c r="G4" i="6" l="1"/>
  <c r="Z14" i="6" s="1"/>
  <c r="I5" i="15"/>
  <c r="C22" i="10"/>
  <c r="B22" i="10"/>
  <c r="X20" i="1"/>
  <c r="J21" i="1"/>
  <c r="B28" i="1"/>
  <c r="D28" i="1" s="1"/>
  <c r="E28" i="1" s="1"/>
  <c r="H22" i="1"/>
  <c r="I22" i="1" s="1"/>
  <c r="K22" i="1" s="1"/>
  <c r="G23" i="1"/>
  <c r="C23" i="1"/>
  <c r="H4" i="6" l="1"/>
  <c r="Z15" i="6" s="1"/>
  <c r="J5" i="15"/>
  <c r="C23" i="10"/>
  <c r="B23" i="10"/>
  <c r="X21" i="1"/>
  <c r="J22" i="1"/>
  <c r="B29" i="1"/>
  <c r="D29" i="1" s="1"/>
  <c r="E29" i="1" s="1"/>
  <c r="H23" i="1"/>
  <c r="I23" i="1" s="1"/>
  <c r="K23" i="1" s="1"/>
  <c r="G24" i="1"/>
  <c r="C24" i="1"/>
  <c r="I4" i="6" l="1"/>
  <c r="Z16" i="6" s="1"/>
  <c r="K5" i="15"/>
  <c r="B24" i="10"/>
  <c r="C24" i="10"/>
  <c r="X22" i="1"/>
  <c r="J23" i="1"/>
  <c r="B30" i="1"/>
  <c r="D30" i="1" s="1"/>
  <c r="E30" i="1" s="1"/>
  <c r="H24" i="1"/>
  <c r="I24" i="1" s="1"/>
  <c r="K24" i="1" s="1"/>
  <c r="G25" i="1"/>
  <c r="C25" i="1"/>
  <c r="J4" i="6" l="1"/>
  <c r="Z17" i="6" s="1"/>
  <c r="L5" i="15"/>
  <c r="C25" i="10"/>
  <c r="B25" i="10"/>
  <c r="X23" i="1"/>
  <c r="J24" i="1"/>
  <c r="B31" i="1"/>
  <c r="D31" i="1" s="1"/>
  <c r="E31" i="1" s="1"/>
  <c r="H25" i="1"/>
  <c r="I25" i="1" s="1"/>
  <c r="K25" i="1" s="1"/>
  <c r="G26" i="1"/>
  <c r="C26" i="1"/>
  <c r="K4" i="6" l="1"/>
  <c r="Z18" i="6" s="1"/>
  <c r="M5" i="15"/>
  <c r="C26" i="10"/>
  <c r="B26" i="10"/>
  <c r="X24" i="1"/>
  <c r="Q4" i="6"/>
  <c r="R4" i="6" s="1"/>
  <c r="S4" i="6" s="1"/>
  <c r="T4" i="6" s="1"/>
  <c r="U4" i="6" s="1"/>
  <c r="O4" i="6"/>
  <c r="Q21" i="1" s="1"/>
  <c r="J25" i="1"/>
  <c r="H26" i="1"/>
  <c r="I26" i="1" s="1"/>
  <c r="K26" i="1" s="1"/>
  <c r="B32" i="1"/>
  <c r="D32" i="1" s="1"/>
  <c r="E32" i="1" s="1"/>
  <c r="G27" i="1"/>
  <c r="C27" i="1"/>
  <c r="S5" i="15" l="1"/>
  <c r="T5" i="15" s="1"/>
  <c r="U5" i="15" s="1"/>
  <c r="V5" i="15" s="1"/>
  <c r="W5" i="15" s="1"/>
  <c r="X5" i="15" s="1"/>
  <c r="Y5" i="15" s="1"/>
  <c r="O5" i="15" s="1"/>
  <c r="O21" i="1" s="1"/>
  <c r="Q5" i="15"/>
  <c r="D5" i="6"/>
  <c r="Z19" i="6" s="1"/>
  <c r="F6" i="15"/>
  <c r="C27" i="10"/>
  <c r="B27" i="10"/>
  <c r="V4" i="6"/>
  <c r="M4" i="6" s="1"/>
  <c r="S21" i="1" s="1"/>
  <c r="X25" i="1"/>
  <c r="J26" i="1"/>
  <c r="B33" i="1"/>
  <c r="D33" i="1" s="1"/>
  <c r="E33" i="1" s="1"/>
  <c r="H27" i="1"/>
  <c r="I27" i="1" s="1"/>
  <c r="K27" i="1" s="1"/>
  <c r="G28" i="1"/>
  <c r="C28" i="1"/>
  <c r="E5" i="6" l="1"/>
  <c r="Z20" i="6" s="1"/>
  <c r="G6" i="15"/>
  <c r="B28" i="10"/>
  <c r="C28" i="10"/>
  <c r="J27" i="1"/>
  <c r="X26" i="1"/>
  <c r="B34" i="1"/>
  <c r="D34" i="1" s="1"/>
  <c r="E34" i="1" s="1"/>
  <c r="H28" i="1"/>
  <c r="I28" i="1" s="1"/>
  <c r="K28" i="1" s="1"/>
  <c r="G29" i="1"/>
  <c r="C29" i="1"/>
  <c r="F5" i="6" l="1"/>
  <c r="Z21" i="6" s="1"/>
  <c r="H6" i="15"/>
  <c r="X27" i="1"/>
  <c r="C29" i="10"/>
  <c r="B29" i="10"/>
  <c r="J28" i="1"/>
  <c r="B35" i="1"/>
  <c r="D35" i="1" s="1"/>
  <c r="E35" i="1" s="1"/>
  <c r="H29" i="1"/>
  <c r="I29" i="1" s="1"/>
  <c r="K29" i="1" s="1"/>
  <c r="G30" i="1"/>
  <c r="C30" i="1"/>
  <c r="G5" i="6" l="1"/>
  <c r="Z22" i="6" s="1"/>
  <c r="I6" i="15"/>
  <c r="C30" i="10"/>
  <c r="B30" i="10"/>
  <c r="X28" i="1"/>
  <c r="J29" i="1"/>
  <c r="H30" i="1"/>
  <c r="I30" i="1" s="1"/>
  <c r="K30" i="1" s="1"/>
  <c r="B36" i="1"/>
  <c r="D36" i="1" s="1"/>
  <c r="E36" i="1" s="1"/>
  <c r="G31" i="1"/>
  <c r="C31" i="1"/>
  <c r="H5" i="6" l="1"/>
  <c r="Z23" i="6" s="1"/>
  <c r="J6" i="15"/>
  <c r="C31" i="10"/>
  <c r="B31" i="10"/>
  <c r="X29" i="1"/>
  <c r="J30" i="1"/>
  <c r="B37" i="1"/>
  <c r="D37" i="1" s="1"/>
  <c r="E37" i="1" s="1"/>
  <c r="H31" i="1"/>
  <c r="I31" i="1" s="1"/>
  <c r="K31" i="1" s="1"/>
  <c r="G32" i="1"/>
  <c r="C32" i="1"/>
  <c r="I5" i="6" l="1"/>
  <c r="Z24" i="6" s="1"/>
  <c r="K6" i="15"/>
  <c r="B32" i="10"/>
  <c r="C32" i="10"/>
  <c r="J31" i="1"/>
  <c r="X30" i="1"/>
  <c r="B38" i="1"/>
  <c r="D38" i="1" s="1"/>
  <c r="E38" i="1" s="1"/>
  <c r="H32" i="1"/>
  <c r="I32" i="1" s="1"/>
  <c r="K32" i="1" s="1"/>
  <c r="G33" i="1"/>
  <c r="C33" i="1"/>
  <c r="J5" i="6" l="1"/>
  <c r="Z25" i="6" s="1"/>
  <c r="L6" i="15"/>
  <c r="X31" i="1"/>
  <c r="C33" i="10"/>
  <c r="B33" i="10"/>
  <c r="J32" i="1"/>
  <c r="B39" i="1"/>
  <c r="D39" i="1" s="1"/>
  <c r="E39" i="1" s="1"/>
  <c r="H33" i="1"/>
  <c r="I33" i="1" s="1"/>
  <c r="K33" i="1" s="1"/>
  <c r="H34" i="1"/>
  <c r="I34" i="1" s="1"/>
  <c r="K34" i="1" s="1"/>
  <c r="C34" i="1"/>
  <c r="K5" i="6" l="1"/>
  <c r="Z26" i="6" s="1"/>
  <c r="M6" i="15"/>
  <c r="S6" i="15" s="1"/>
  <c r="T6" i="15" s="1"/>
  <c r="U6" i="15" s="1"/>
  <c r="V6" i="15" s="1"/>
  <c r="W6" i="15" s="1"/>
  <c r="X6" i="15" s="1"/>
  <c r="Y6" i="15" s="1"/>
  <c r="O6" i="15" s="1"/>
  <c r="O22" i="1" s="1"/>
  <c r="C34" i="10"/>
  <c r="B34" i="10"/>
  <c r="Q5" i="6"/>
  <c r="R5" i="6" s="1"/>
  <c r="S5" i="6" s="1"/>
  <c r="T5" i="6" s="1"/>
  <c r="U5" i="6" s="1"/>
  <c r="O5" i="6"/>
  <c r="Q22" i="1" s="1"/>
  <c r="X32" i="1"/>
  <c r="J34" i="1"/>
  <c r="G7" i="15" s="1"/>
  <c r="J33" i="1"/>
  <c r="B40" i="1"/>
  <c r="D40" i="1" s="1"/>
  <c r="E40" i="1" s="1"/>
  <c r="G34" i="1"/>
  <c r="G35" i="1"/>
  <c r="C35" i="1"/>
  <c r="Q6" i="15" l="1"/>
  <c r="D6" i="6"/>
  <c r="Z27" i="6" s="1"/>
  <c r="F7" i="15"/>
  <c r="C35" i="10"/>
  <c r="B35" i="10"/>
  <c r="V5" i="6"/>
  <c r="M5" i="6" s="1"/>
  <c r="S22" i="1" s="1"/>
  <c r="X33" i="1"/>
  <c r="B41" i="1"/>
  <c r="D41" i="1" s="1"/>
  <c r="E41" i="1" s="1"/>
  <c r="X34" i="1"/>
  <c r="H35" i="1"/>
  <c r="I35" i="1" s="1"/>
  <c r="K35" i="1" s="1"/>
  <c r="G36" i="1"/>
  <c r="C36" i="1"/>
  <c r="B36" i="10" l="1"/>
  <c r="C36" i="10"/>
  <c r="J35" i="1"/>
  <c r="B42" i="1"/>
  <c r="D42" i="1" s="1"/>
  <c r="E42" i="1" s="1"/>
  <c r="E6" i="6"/>
  <c r="Z28" i="6" s="1"/>
  <c r="H36" i="1"/>
  <c r="I36" i="1" s="1"/>
  <c r="K36" i="1" s="1"/>
  <c r="G37" i="1"/>
  <c r="C37" i="1"/>
  <c r="X35" i="1" l="1"/>
  <c r="H7" i="15"/>
  <c r="C37" i="10"/>
  <c r="B37" i="10"/>
  <c r="J36" i="1"/>
  <c r="F6" i="6"/>
  <c r="Z29" i="6" s="1"/>
  <c r="B43" i="1"/>
  <c r="D43" i="1" s="1"/>
  <c r="E43" i="1" s="1"/>
  <c r="H37" i="1"/>
  <c r="I37" i="1" s="1"/>
  <c r="K37" i="1" s="1"/>
  <c r="H38" i="1"/>
  <c r="I38" i="1" s="1"/>
  <c r="K38" i="1" s="1"/>
  <c r="C38" i="1"/>
  <c r="G6" i="6" l="1"/>
  <c r="Z30" i="6" s="1"/>
  <c r="I7" i="15"/>
  <c r="C38" i="10"/>
  <c r="B38" i="10"/>
  <c r="X36" i="1"/>
  <c r="J38" i="1"/>
  <c r="K7" i="15" s="1"/>
  <c r="J37" i="1"/>
  <c r="G38" i="1"/>
  <c r="B44" i="1"/>
  <c r="D44" i="1" s="1"/>
  <c r="E44" i="1" s="1"/>
  <c r="G39" i="1"/>
  <c r="C39" i="1"/>
  <c r="H6" i="6" l="1"/>
  <c r="Z31" i="6" s="1"/>
  <c r="J7" i="15"/>
  <c r="C39" i="10"/>
  <c r="B39" i="10"/>
  <c r="X37" i="1"/>
  <c r="B45" i="1"/>
  <c r="D45" i="1" s="1"/>
  <c r="E45" i="1" s="1"/>
  <c r="H39" i="1"/>
  <c r="I39" i="1" s="1"/>
  <c r="K39" i="1" s="1"/>
  <c r="G40" i="1"/>
  <c r="C40" i="1"/>
  <c r="I6" i="6"/>
  <c r="Z32" i="6" s="1"/>
  <c r="X38" i="1"/>
  <c r="B40" i="10" l="1"/>
  <c r="C40" i="10"/>
  <c r="J39" i="1"/>
  <c r="B46" i="1"/>
  <c r="D46" i="1" s="1"/>
  <c r="E46" i="1" s="1"/>
  <c r="H40" i="1"/>
  <c r="I40" i="1" s="1"/>
  <c r="K40" i="1" s="1"/>
  <c r="G41" i="1"/>
  <c r="C41" i="1"/>
  <c r="J6" i="6" l="1"/>
  <c r="Z33" i="6" s="1"/>
  <c r="L7" i="15"/>
  <c r="C41" i="10"/>
  <c r="B41" i="10"/>
  <c r="X39" i="1"/>
  <c r="J40" i="1"/>
  <c r="B47" i="1"/>
  <c r="D47" i="1" s="1"/>
  <c r="E47" i="1" s="1"/>
  <c r="H41" i="1"/>
  <c r="I41" i="1" s="1"/>
  <c r="K41" i="1" s="1"/>
  <c r="G42" i="1"/>
  <c r="C42" i="1"/>
  <c r="K6" i="6" l="1"/>
  <c r="Z34" i="6" s="1"/>
  <c r="M7" i="15"/>
  <c r="S7" i="15" s="1"/>
  <c r="T7" i="15" s="1"/>
  <c r="U7" i="15" s="1"/>
  <c r="V7" i="15" s="1"/>
  <c r="W7" i="15" s="1"/>
  <c r="X7" i="15" s="1"/>
  <c r="Y7" i="15" s="1"/>
  <c r="O7" i="15" s="1"/>
  <c r="O23" i="1" s="1"/>
  <c r="C42" i="10"/>
  <c r="B42" i="10"/>
  <c r="X40" i="1"/>
  <c r="O6" i="6"/>
  <c r="Q23" i="1" s="1"/>
  <c r="Q6" i="6"/>
  <c r="R6" i="6" s="1"/>
  <c r="S6" i="6" s="1"/>
  <c r="T6" i="6" s="1"/>
  <c r="U6" i="6" s="1"/>
  <c r="J41" i="1"/>
  <c r="B48" i="1"/>
  <c r="D48" i="1" s="1"/>
  <c r="E48" i="1" s="1"/>
  <c r="H42" i="1"/>
  <c r="I42" i="1" s="1"/>
  <c r="K42" i="1" s="1"/>
  <c r="G43" i="1"/>
  <c r="C43" i="1"/>
  <c r="Q7" i="15" l="1"/>
  <c r="X41" i="1"/>
  <c r="F8" i="15"/>
  <c r="C43" i="10"/>
  <c r="B43" i="10"/>
  <c r="V6" i="6"/>
  <c r="M6" i="6" s="1"/>
  <c r="S23" i="1" s="1"/>
  <c r="J42" i="1"/>
  <c r="D7" i="6"/>
  <c r="Z35" i="6" s="1"/>
  <c r="B49" i="1"/>
  <c r="D49" i="1" s="1"/>
  <c r="E49" i="1" s="1"/>
  <c r="H43" i="1"/>
  <c r="I43" i="1" s="1"/>
  <c r="K43" i="1" s="1"/>
  <c r="H44" i="1"/>
  <c r="I44" i="1" s="1"/>
  <c r="K44" i="1" s="1"/>
  <c r="C44" i="1"/>
  <c r="X42" i="1" l="1"/>
  <c r="G8" i="15"/>
  <c r="B44" i="10"/>
  <c r="C44" i="10"/>
  <c r="E7" i="6"/>
  <c r="Z36" i="6" s="1"/>
  <c r="J44" i="1"/>
  <c r="I8" i="15" s="1"/>
  <c r="J43" i="1"/>
  <c r="B50" i="1"/>
  <c r="D50" i="1" s="1"/>
  <c r="E50" i="1" s="1"/>
  <c r="G44" i="1"/>
  <c r="H45" i="1"/>
  <c r="I45" i="1" s="1"/>
  <c r="K45" i="1" s="1"/>
  <c r="C45" i="1"/>
  <c r="X43" i="1" l="1"/>
  <c r="H8" i="15"/>
  <c r="C45" i="10"/>
  <c r="B45" i="10"/>
  <c r="X44" i="1"/>
  <c r="J45" i="1"/>
  <c r="J8" i="15" s="1"/>
  <c r="F7" i="6"/>
  <c r="Z37" i="6" s="1"/>
  <c r="B51" i="1"/>
  <c r="D51" i="1" s="1"/>
  <c r="E51" i="1" s="1"/>
  <c r="G45" i="1"/>
  <c r="G7" i="6"/>
  <c r="Z38" i="6" s="1"/>
  <c r="H46" i="1"/>
  <c r="I46" i="1" s="1"/>
  <c r="K46" i="1" s="1"/>
  <c r="C46" i="1"/>
  <c r="C46" i="10" l="1"/>
  <c r="B46" i="10"/>
  <c r="J46" i="1"/>
  <c r="K8" i="15" s="1"/>
  <c r="B52" i="1"/>
  <c r="D52" i="1" s="1"/>
  <c r="E52" i="1" s="1"/>
  <c r="G46" i="1"/>
  <c r="H7" i="6"/>
  <c r="Z39" i="6" s="1"/>
  <c r="X45" i="1"/>
  <c r="G47" i="1"/>
  <c r="C47" i="1"/>
  <c r="C47" i="10" l="1"/>
  <c r="B47" i="10"/>
  <c r="I7" i="6"/>
  <c r="Z40" i="6" s="1"/>
  <c r="B53" i="1"/>
  <c r="D53" i="1" s="1"/>
  <c r="E53" i="1" s="1"/>
  <c r="H47" i="1"/>
  <c r="I47" i="1" s="1"/>
  <c r="K47" i="1" s="1"/>
  <c r="H48" i="1"/>
  <c r="I48" i="1" s="1"/>
  <c r="K48" i="1" s="1"/>
  <c r="C48" i="1"/>
  <c r="B48" i="10" l="1"/>
  <c r="C48" i="10"/>
  <c r="J48" i="1"/>
  <c r="M8" i="15" s="1"/>
  <c r="J47" i="1"/>
  <c r="G48" i="1"/>
  <c r="X46" i="1"/>
  <c r="B54" i="1"/>
  <c r="D54" i="1" s="1"/>
  <c r="E54" i="1" s="1"/>
  <c r="G49" i="1"/>
  <c r="C49" i="1"/>
  <c r="J7" i="6" l="1"/>
  <c r="Z41" i="6" s="1"/>
  <c r="L8" i="15"/>
  <c r="Q8" i="15" s="1"/>
  <c r="C49" i="10"/>
  <c r="B49" i="10"/>
  <c r="X47" i="1"/>
  <c r="B55" i="1"/>
  <c r="D55" i="1" s="1"/>
  <c r="E55" i="1" s="1"/>
  <c r="H49" i="1"/>
  <c r="I49" i="1" s="1"/>
  <c r="K49" i="1" s="1"/>
  <c r="H50" i="1"/>
  <c r="I50" i="1" s="1"/>
  <c r="K50" i="1" s="1"/>
  <c r="C50" i="1"/>
  <c r="K7" i="6"/>
  <c r="Z42" i="6" s="1"/>
  <c r="X48" i="1"/>
  <c r="S8" i="15" l="1"/>
  <c r="T8" i="15" s="1"/>
  <c r="U8" i="15" s="1"/>
  <c r="V8" i="15" s="1"/>
  <c r="W8" i="15" s="1"/>
  <c r="X8" i="15" s="1"/>
  <c r="Y8" i="15" s="1"/>
  <c r="O8" i="15" s="1"/>
  <c r="O24" i="1" s="1"/>
  <c r="C50" i="10"/>
  <c r="B50" i="10"/>
  <c r="J50" i="1"/>
  <c r="G9" i="15" s="1"/>
  <c r="J49" i="1"/>
  <c r="O7" i="6"/>
  <c r="Q24" i="1" s="1"/>
  <c r="Q7" i="6"/>
  <c r="R7" i="6" s="1"/>
  <c r="S7" i="6" s="1"/>
  <c r="T7" i="6" s="1"/>
  <c r="U7" i="6" s="1"/>
  <c r="B56" i="1"/>
  <c r="D56" i="1" s="1"/>
  <c r="E56" i="1" s="1"/>
  <c r="G50" i="1"/>
  <c r="H51" i="1"/>
  <c r="I51" i="1" s="1"/>
  <c r="K51" i="1" s="1"/>
  <c r="C51" i="1"/>
  <c r="D8" i="6" l="1"/>
  <c r="Z43" i="6" s="1"/>
  <c r="F9" i="15"/>
  <c r="C51" i="10"/>
  <c r="B51" i="10"/>
  <c r="V7" i="6"/>
  <c r="M7" i="6" s="1"/>
  <c r="S24" i="1" s="1"/>
  <c r="X49" i="1"/>
  <c r="J51" i="1"/>
  <c r="H9" i="15" s="1"/>
  <c r="B57" i="1"/>
  <c r="D57" i="1" s="1"/>
  <c r="E57" i="1" s="1"/>
  <c r="E8" i="6"/>
  <c r="Z44" i="6" s="1"/>
  <c r="G51" i="1"/>
  <c r="G52" i="1"/>
  <c r="C52" i="1"/>
  <c r="B52" i="10" l="1"/>
  <c r="C52" i="10"/>
  <c r="F8" i="6"/>
  <c r="Z45" i="6" s="1"/>
  <c r="B58" i="1"/>
  <c r="D58" i="1" s="1"/>
  <c r="E58" i="1" s="1"/>
  <c r="X50" i="1"/>
  <c r="X51" i="1"/>
  <c r="H52" i="1"/>
  <c r="I52" i="1" s="1"/>
  <c r="K52" i="1" s="1"/>
  <c r="G53" i="1"/>
  <c r="C53" i="1"/>
  <c r="C53" i="10" l="1"/>
  <c r="B53" i="10"/>
  <c r="J52" i="1"/>
  <c r="B59" i="1"/>
  <c r="D59" i="1" s="1"/>
  <c r="E59" i="1" s="1"/>
  <c r="H53" i="1"/>
  <c r="I53" i="1" s="1"/>
  <c r="K53" i="1" s="1"/>
  <c r="G54" i="1"/>
  <c r="C54" i="1"/>
  <c r="G8" i="6" l="1"/>
  <c r="Z46" i="6" s="1"/>
  <c r="I9" i="15"/>
  <c r="C54" i="10"/>
  <c r="B54" i="10"/>
  <c r="X52" i="1"/>
  <c r="J53" i="1"/>
  <c r="B60" i="1"/>
  <c r="D60" i="1" s="1"/>
  <c r="E60" i="1" s="1"/>
  <c r="H54" i="1"/>
  <c r="I54" i="1" s="1"/>
  <c r="K54" i="1" s="1"/>
  <c r="H55" i="1"/>
  <c r="I55" i="1" s="1"/>
  <c r="K55" i="1" s="1"/>
  <c r="C55" i="1"/>
  <c r="H8" i="6" l="1"/>
  <c r="Z47" i="6" s="1"/>
  <c r="J9" i="15"/>
  <c r="C55" i="10"/>
  <c r="B55" i="10"/>
  <c r="J55" i="1"/>
  <c r="L9" i="15" s="1"/>
  <c r="J54" i="1"/>
  <c r="X53" i="1"/>
  <c r="B61" i="1"/>
  <c r="D61" i="1" s="1"/>
  <c r="E61" i="1" s="1"/>
  <c r="G55" i="1"/>
  <c r="G56" i="1"/>
  <c r="C56" i="1"/>
  <c r="X54" i="1" l="1"/>
  <c r="K9" i="15"/>
  <c r="B56" i="10"/>
  <c r="C56" i="10"/>
  <c r="I8" i="6"/>
  <c r="Z48" i="6" s="1"/>
  <c r="B62" i="1"/>
  <c r="D62" i="1" s="1"/>
  <c r="E62" i="1" s="1"/>
  <c r="H56" i="1"/>
  <c r="I56" i="1" s="1"/>
  <c r="K56" i="1" s="1"/>
  <c r="G57" i="1"/>
  <c r="C57" i="1"/>
  <c r="C57" i="10" l="1"/>
  <c r="B57" i="10"/>
  <c r="J56" i="1"/>
  <c r="B63" i="1"/>
  <c r="D63" i="1" s="1"/>
  <c r="E63" i="1" s="1"/>
  <c r="H57" i="1"/>
  <c r="I57" i="1" s="1"/>
  <c r="K57" i="1" s="1"/>
  <c r="J8" i="6"/>
  <c r="Z49" i="6" s="1"/>
  <c r="X55" i="1"/>
  <c r="G58" i="1"/>
  <c r="C58" i="1"/>
  <c r="X56" i="1" l="1"/>
  <c r="M9" i="15"/>
  <c r="C58" i="10"/>
  <c r="B58" i="10"/>
  <c r="K8" i="6"/>
  <c r="Z50" i="6" s="1"/>
  <c r="J57" i="1"/>
  <c r="O8" i="6"/>
  <c r="B64" i="1"/>
  <c r="D64" i="1" s="1"/>
  <c r="E64" i="1" s="1"/>
  <c r="H58" i="1"/>
  <c r="I58" i="1" s="1"/>
  <c r="K58" i="1" s="1"/>
  <c r="G59" i="1"/>
  <c r="C59" i="1"/>
  <c r="D9" i="6" l="1"/>
  <c r="Z51" i="6" s="1"/>
  <c r="F10" i="15"/>
  <c r="Q9" i="15"/>
  <c r="S9" i="15"/>
  <c r="T9" i="15" s="1"/>
  <c r="U9" i="15" s="1"/>
  <c r="V9" i="15" s="1"/>
  <c r="W9" i="15" s="1"/>
  <c r="X9" i="15" s="1"/>
  <c r="Y9" i="15" s="1"/>
  <c r="O9" i="15" s="1"/>
  <c r="O25" i="1" s="1"/>
  <c r="Q8" i="6"/>
  <c r="R8" i="6" s="1"/>
  <c r="S8" i="6" s="1"/>
  <c r="T8" i="6" s="1"/>
  <c r="U8" i="6" s="1"/>
  <c r="V8" i="6" s="1"/>
  <c r="M8" i="6" s="1"/>
  <c r="S25" i="1" s="1"/>
  <c r="C59" i="10"/>
  <c r="B59" i="10"/>
  <c r="X57" i="1"/>
  <c r="J58" i="1"/>
  <c r="Q25" i="1"/>
  <c r="B65" i="1"/>
  <c r="D65" i="1" s="1"/>
  <c r="E65" i="1" s="1"/>
  <c r="H59" i="1"/>
  <c r="I59" i="1" s="1"/>
  <c r="K59" i="1" s="1"/>
  <c r="H60" i="1"/>
  <c r="I60" i="1" s="1"/>
  <c r="K60" i="1" s="1"/>
  <c r="C60" i="1"/>
  <c r="E9" i="6" l="1"/>
  <c r="Z52" i="6" s="1"/>
  <c r="G10" i="15"/>
  <c r="B60" i="10"/>
  <c r="C60" i="10"/>
  <c r="X58" i="1"/>
  <c r="J60" i="1"/>
  <c r="I10" i="15" s="1"/>
  <c r="J59" i="1"/>
  <c r="B66" i="1"/>
  <c r="D66" i="1" s="1"/>
  <c r="E66" i="1" s="1"/>
  <c r="G60" i="1"/>
  <c r="G61" i="1"/>
  <c r="C61" i="1"/>
  <c r="X59" i="1" l="1"/>
  <c r="H10" i="15"/>
  <c r="C61" i="10"/>
  <c r="B61" i="10"/>
  <c r="G9" i="6"/>
  <c r="Z54" i="6" s="1"/>
  <c r="F9" i="6"/>
  <c r="Z53" i="6" s="1"/>
  <c r="B67" i="1"/>
  <c r="D67" i="1" s="1"/>
  <c r="E67" i="1" s="1"/>
  <c r="H61" i="1"/>
  <c r="I61" i="1" s="1"/>
  <c r="K61" i="1" s="1"/>
  <c r="X60" i="1"/>
  <c r="G62" i="1"/>
  <c r="C62" i="1"/>
  <c r="C62" i="10" l="1"/>
  <c r="B62" i="10"/>
  <c r="J61" i="1"/>
  <c r="B68" i="1"/>
  <c r="D68" i="1" s="1"/>
  <c r="E68" i="1" s="1"/>
  <c r="H62" i="1"/>
  <c r="I62" i="1" s="1"/>
  <c r="K62" i="1" s="1"/>
  <c r="G63" i="1"/>
  <c r="C63" i="1"/>
  <c r="X61" i="1" l="1"/>
  <c r="J10" i="15"/>
  <c r="C63" i="10"/>
  <c r="B63" i="10"/>
  <c r="H9" i="6"/>
  <c r="Z55" i="6" s="1"/>
  <c r="J62" i="1"/>
  <c r="B69" i="1"/>
  <c r="D69" i="1" s="1"/>
  <c r="E69" i="1" s="1"/>
  <c r="H63" i="1"/>
  <c r="I63" i="1" s="1"/>
  <c r="K63" i="1" s="1"/>
  <c r="H64" i="1"/>
  <c r="I64" i="1" s="1"/>
  <c r="K64" i="1" s="1"/>
  <c r="C64" i="1"/>
  <c r="X62" i="1" l="1"/>
  <c r="K10" i="15"/>
  <c r="B64" i="10"/>
  <c r="C64" i="10"/>
  <c r="I9" i="6"/>
  <c r="Z56" i="6" s="1"/>
  <c r="J64" i="1"/>
  <c r="M10" i="15" s="1"/>
  <c r="J63" i="1"/>
  <c r="B70" i="1"/>
  <c r="D70" i="1" s="1"/>
  <c r="E70" i="1" s="1"/>
  <c r="G64" i="1"/>
  <c r="H65" i="1"/>
  <c r="I65" i="1" s="1"/>
  <c r="K65" i="1" s="1"/>
  <c r="C65" i="1"/>
  <c r="J9" i="6" l="1"/>
  <c r="Z57" i="6" s="1"/>
  <c r="L10" i="15"/>
  <c r="C65" i="10"/>
  <c r="B65" i="10"/>
  <c r="J65" i="1"/>
  <c r="F11" i="15" s="1"/>
  <c r="X63" i="1"/>
  <c r="G65" i="1"/>
  <c r="B71" i="1"/>
  <c r="D71" i="1" s="1"/>
  <c r="E71" i="1" s="1"/>
  <c r="G66" i="1"/>
  <c r="C66" i="1"/>
  <c r="S10" i="15" l="1"/>
  <c r="T10" i="15" s="1"/>
  <c r="U10" i="15" s="1"/>
  <c r="V10" i="15" s="1"/>
  <c r="W10" i="15" s="1"/>
  <c r="X10" i="15" s="1"/>
  <c r="Y10" i="15" s="1"/>
  <c r="O10" i="15" s="1"/>
  <c r="O26" i="1" s="1"/>
  <c r="Q10" i="15"/>
  <c r="C66" i="10"/>
  <c r="B66" i="10"/>
  <c r="B72" i="1"/>
  <c r="D72" i="1" s="1"/>
  <c r="E72" i="1" s="1"/>
  <c r="H66" i="1"/>
  <c r="I66" i="1" s="1"/>
  <c r="K66" i="1" s="1"/>
  <c r="K9" i="6"/>
  <c r="Z58" i="6" s="1"/>
  <c r="X64" i="1"/>
  <c r="D10" i="6"/>
  <c r="Z59" i="6" s="1"/>
  <c r="X65" i="1"/>
  <c r="G67" i="1"/>
  <c r="C67" i="1"/>
  <c r="B67" i="10" l="1"/>
  <c r="C67" i="10"/>
  <c r="J66" i="1"/>
  <c r="O9" i="6"/>
  <c r="Q26" i="1" s="1"/>
  <c r="Q9" i="6"/>
  <c r="R9" i="6" s="1"/>
  <c r="S9" i="6" s="1"/>
  <c r="T9" i="6" s="1"/>
  <c r="U9" i="6" s="1"/>
  <c r="B73" i="1"/>
  <c r="D73" i="1" s="1"/>
  <c r="E73" i="1" s="1"/>
  <c r="H67" i="1"/>
  <c r="I67" i="1" s="1"/>
  <c r="K67" i="1" s="1"/>
  <c r="G68" i="1"/>
  <c r="C68" i="1"/>
  <c r="X66" i="1" l="1"/>
  <c r="G11" i="15"/>
  <c r="E10" i="6"/>
  <c r="Z60" i="6" s="1"/>
  <c r="B68" i="10"/>
  <c r="C68" i="10"/>
  <c r="V9" i="6"/>
  <c r="M9" i="6" s="1"/>
  <c r="S26" i="1" s="1"/>
  <c r="J67" i="1"/>
  <c r="B74" i="1"/>
  <c r="D74" i="1" s="1"/>
  <c r="E74" i="1" s="1"/>
  <c r="H68" i="1"/>
  <c r="I68" i="1" s="1"/>
  <c r="K68" i="1" s="1"/>
  <c r="G69" i="1"/>
  <c r="C69" i="1"/>
  <c r="F10" i="6" l="1"/>
  <c r="Z61" i="6" s="1"/>
  <c r="H11" i="15"/>
  <c r="X67" i="1"/>
  <c r="C69" i="10"/>
  <c r="B69" i="10"/>
  <c r="J68" i="1"/>
  <c r="B75" i="1"/>
  <c r="D75" i="1" s="1"/>
  <c r="E75" i="1" s="1"/>
  <c r="H69" i="1"/>
  <c r="I69" i="1" s="1"/>
  <c r="K69" i="1" s="1"/>
  <c r="G70" i="1"/>
  <c r="C70" i="1"/>
  <c r="X68" i="1" l="1"/>
  <c r="I11" i="15"/>
  <c r="C70" i="10"/>
  <c r="B70" i="10"/>
  <c r="G10" i="6"/>
  <c r="Z62" i="6" s="1"/>
  <c r="J69" i="1"/>
  <c r="B76" i="1"/>
  <c r="D76" i="1" s="1"/>
  <c r="E76" i="1" s="1"/>
  <c r="H70" i="1"/>
  <c r="I70" i="1" s="1"/>
  <c r="K70" i="1" s="1"/>
  <c r="G71" i="1"/>
  <c r="C71" i="1"/>
  <c r="H10" i="6" l="1"/>
  <c r="Z63" i="6" s="1"/>
  <c r="J11" i="15"/>
  <c r="B71" i="10"/>
  <c r="C71" i="10"/>
  <c r="X69" i="1"/>
  <c r="J70" i="1"/>
  <c r="H71" i="1"/>
  <c r="I71" i="1" s="1"/>
  <c r="K71" i="1" s="1"/>
  <c r="B77" i="1"/>
  <c r="D77" i="1" s="1"/>
  <c r="E77" i="1" s="1"/>
  <c r="G72" i="1"/>
  <c r="C72" i="1"/>
  <c r="X70" i="1" l="1"/>
  <c r="K11" i="15"/>
  <c r="B72" i="10"/>
  <c r="C72" i="10"/>
  <c r="I10" i="6"/>
  <c r="Z64" i="6" s="1"/>
  <c r="J71" i="1"/>
  <c r="B78" i="1"/>
  <c r="D78" i="1" s="1"/>
  <c r="E78" i="1" s="1"/>
  <c r="H72" i="1"/>
  <c r="I72" i="1" s="1"/>
  <c r="K72" i="1" s="1"/>
  <c r="G73" i="1"/>
  <c r="C73" i="1"/>
  <c r="J10" i="6" l="1"/>
  <c r="Z65" i="6" s="1"/>
  <c r="L11" i="15"/>
  <c r="C73" i="10"/>
  <c r="B73" i="10"/>
  <c r="J72" i="1"/>
  <c r="X71" i="1"/>
  <c r="B79" i="1"/>
  <c r="D79" i="1" s="1"/>
  <c r="E79" i="1" s="1"/>
  <c r="H73" i="1"/>
  <c r="I73" i="1" s="1"/>
  <c r="K73" i="1" s="1"/>
  <c r="G74" i="1"/>
  <c r="C74" i="1"/>
  <c r="X72" i="1" l="1"/>
  <c r="M11" i="15"/>
  <c r="K10" i="6"/>
  <c r="Z66" i="6" s="1"/>
  <c r="C74" i="10"/>
  <c r="B74" i="10"/>
  <c r="J73" i="1"/>
  <c r="O10" i="6"/>
  <c r="Q27" i="1" s="1"/>
  <c r="B80" i="1"/>
  <c r="D80" i="1" s="1"/>
  <c r="E80" i="1" s="1"/>
  <c r="H74" i="1"/>
  <c r="I74" i="1" s="1"/>
  <c r="K74" i="1" s="1"/>
  <c r="G75" i="1"/>
  <c r="C75" i="1"/>
  <c r="Q10" i="6" l="1"/>
  <c r="R10" i="6" s="1"/>
  <c r="S10" i="6" s="1"/>
  <c r="T10" i="6" s="1"/>
  <c r="U10" i="6" s="1"/>
  <c r="V10" i="6" s="1"/>
  <c r="M10" i="6" s="1"/>
  <c r="S27" i="1" s="1"/>
  <c r="D11" i="6"/>
  <c r="Z67" i="6" s="1"/>
  <c r="F12" i="15"/>
  <c r="S11" i="15"/>
  <c r="T11" i="15" s="1"/>
  <c r="U11" i="15" s="1"/>
  <c r="V11" i="15" s="1"/>
  <c r="W11" i="15" s="1"/>
  <c r="X11" i="15" s="1"/>
  <c r="Y11" i="15" s="1"/>
  <c r="O11" i="15" s="1"/>
  <c r="O27" i="1" s="1"/>
  <c r="Q11" i="15"/>
  <c r="X73" i="1"/>
  <c r="C75" i="10"/>
  <c r="B75" i="10"/>
  <c r="J74" i="1"/>
  <c r="E11" i="6" s="1"/>
  <c r="Z68" i="6" s="1"/>
  <c r="B81" i="1"/>
  <c r="D81" i="1" s="1"/>
  <c r="E81" i="1" s="1"/>
  <c r="H75" i="1"/>
  <c r="I75" i="1" s="1"/>
  <c r="K75" i="1" s="1"/>
  <c r="H76" i="1"/>
  <c r="I76" i="1" s="1"/>
  <c r="K76" i="1" s="1"/>
  <c r="C76" i="1"/>
  <c r="X74" i="1" l="1"/>
  <c r="G12" i="15"/>
  <c r="B76" i="10"/>
  <c r="C76" i="10"/>
  <c r="J76" i="1"/>
  <c r="I12" i="15" s="1"/>
  <c r="J75" i="1"/>
  <c r="B82" i="1"/>
  <c r="D82" i="1" s="1"/>
  <c r="E82" i="1" s="1"/>
  <c r="G76" i="1"/>
  <c r="G77" i="1"/>
  <c r="C77" i="1"/>
  <c r="F11" i="6" l="1"/>
  <c r="Z69" i="6" s="1"/>
  <c r="H12" i="15"/>
  <c r="C77" i="10"/>
  <c r="B77" i="10"/>
  <c r="X75" i="1"/>
  <c r="B83" i="1"/>
  <c r="D83" i="1" s="1"/>
  <c r="E83" i="1" s="1"/>
  <c r="X76" i="1"/>
  <c r="H77" i="1"/>
  <c r="I77" i="1" s="1"/>
  <c r="K77" i="1" s="1"/>
  <c r="H78" i="1"/>
  <c r="I78" i="1" s="1"/>
  <c r="K78" i="1" s="1"/>
  <c r="C78" i="1"/>
  <c r="C78" i="10" l="1"/>
  <c r="B78" i="10"/>
  <c r="J78" i="1"/>
  <c r="K12" i="15" s="1"/>
  <c r="J77" i="1"/>
  <c r="B84" i="1"/>
  <c r="D84" i="1" s="1"/>
  <c r="E84" i="1" s="1"/>
  <c r="G11" i="6"/>
  <c r="Z70" i="6" s="1"/>
  <c r="G78" i="1"/>
  <c r="G79" i="1"/>
  <c r="C79" i="1"/>
  <c r="H11" i="6" l="1"/>
  <c r="Z71" i="6" s="1"/>
  <c r="J12" i="15"/>
  <c r="C79" i="10"/>
  <c r="B79" i="10"/>
  <c r="X78" i="1"/>
  <c r="X77" i="1"/>
  <c r="B85" i="1"/>
  <c r="D85" i="1" s="1"/>
  <c r="E85" i="1" s="1"/>
  <c r="I11" i="6"/>
  <c r="Z72" i="6" s="1"/>
  <c r="H79" i="1"/>
  <c r="I79" i="1" s="1"/>
  <c r="K79" i="1" s="1"/>
  <c r="H80" i="1"/>
  <c r="I80" i="1" s="1"/>
  <c r="K80" i="1" s="1"/>
  <c r="C80" i="1"/>
  <c r="B80" i="10" l="1"/>
  <c r="C80" i="10"/>
  <c r="J80" i="1"/>
  <c r="M12" i="15" s="1"/>
  <c r="J79" i="1"/>
  <c r="B86" i="1"/>
  <c r="D86" i="1" s="1"/>
  <c r="E86" i="1" s="1"/>
  <c r="G80" i="1"/>
  <c r="G81" i="1"/>
  <c r="C81" i="1"/>
  <c r="J11" i="6" l="1"/>
  <c r="Z73" i="6" s="1"/>
  <c r="L12" i="15"/>
  <c r="K11" i="6"/>
  <c r="Z74" i="6" s="1"/>
  <c r="C81" i="10"/>
  <c r="B81" i="10"/>
  <c r="X79" i="1"/>
  <c r="O11" i="6"/>
  <c r="Q28" i="1" s="1"/>
  <c r="B87" i="1"/>
  <c r="D87" i="1" s="1"/>
  <c r="E87" i="1" s="1"/>
  <c r="H81" i="1"/>
  <c r="I81" i="1" s="1"/>
  <c r="K81" i="1" s="1"/>
  <c r="X80" i="1"/>
  <c r="G82" i="1"/>
  <c r="C82" i="1"/>
  <c r="Q11" i="6" l="1"/>
  <c r="R11" i="6" s="1"/>
  <c r="S11" i="6" s="1"/>
  <c r="T11" i="6" s="1"/>
  <c r="U11" i="6" s="1"/>
  <c r="V11" i="6" s="1"/>
  <c r="M11" i="6" s="1"/>
  <c r="S28" i="1" s="1"/>
  <c r="Q12" i="15"/>
  <c r="S12" i="15"/>
  <c r="T12" i="15" s="1"/>
  <c r="U12" i="15" s="1"/>
  <c r="V12" i="15" s="1"/>
  <c r="W12" i="15" s="1"/>
  <c r="X12" i="15" s="1"/>
  <c r="Y12" i="15" s="1"/>
  <c r="O12" i="15" s="1"/>
  <c r="O28" i="1" s="1"/>
  <c r="C82" i="10"/>
  <c r="B82" i="10"/>
  <c r="J81" i="1"/>
  <c r="B88" i="1"/>
  <c r="D88" i="1" s="1"/>
  <c r="E88" i="1" s="1"/>
  <c r="H82" i="1"/>
  <c r="I82" i="1" s="1"/>
  <c r="K82" i="1" s="1"/>
  <c r="G83" i="1"/>
  <c r="C83" i="1"/>
  <c r="D12" i="6" l="1"/>
  <c r="Z75" i="6" s="1"/>
  <c r="F13" i="15"/>
  <c r="B83" i="10"/>
  <c r="C83" i="10"/>
  <c r="J82" i="1"/>
  <c r="X81" i="1"/>
  <c r="B89" i="1"/>
  <c r="D89" i="1" s="1"/>
  <c r="E89" i="1" s="1"/>
  <c r="H83" i="1"/>
  <c r="I83" i="1" s="1"/>
  <c r="K83" i="1" s="1"/>
  <c r="G84" i="1"/>
  <c r="C84" i="1"/>
  <c r="E12" i="6" l="1"/>
  <c r="Z76" i="6" s="1"/>
  <c r="G13" i="15"/>
  <c r="B84" i="10"/>
  <c r="C84" i="10"/>
  <c r="X82" i="1"/>
  <c r="J83" i="1"/>
  <c r="B90" i="1"/>
  <c r="D90" i="1" s="1"/>
  <c r="E90" i="1" s="1"/>
  <c r="H84" i="1"/>
  <c r="I84" i="1" s="1"/>
  <c r="K84" i="1" s="1"/>
  <c r="G85" i="1"/>
  <c r="C85" i="1"/>
  <c r="F12" i="6" l="1"/>
  <c r="Z77" i="6" s="1"/>
  <c r="H13" i="15"/>
  <c r="C85" i="10"/>
  <c r="B85" i="10"/>
  <c r="X83" i="1"/>
  <c r="J84" i="1"/>
  <c r="B91" i="1"/>
  <c r="D91" i="1" s="1"/>
  <c r="E91" i="1" s="1"/>
  <c r="H85" i="1"/>
  <c r="I85" i="1" s="1"/>
  <c r="K85" i="1" s="1"/>
  <c r="H86" i="1"/>
  <c r="I86" i="1" s="1"/>
  <c r="K86" i="1" s="1"/>
  <c r="C86" i="1"/>
  <c r="G12" i="6" l="1"/>
  <c r="Z78" i="6" s="1"/>
  <c r="I13" i="15"/>
  <c r="C86" i="10"/>
  <c r="B86" i="10"/>
  <c r="X84" i="1"/>
  <c r="J85" i="1"/>
  <c r="J86" i="1"/>
  <c r="K13" i="15" s="1"/>
  <c r="B92" i="1"/>
  <c r="D92" i="1" s="1"/>
  <c r="E92" i="1" s="1"/>
  <c r="G86" i="1"/>
  <c r="G87" i="1"/>
  <c r="C87" i="1"/>
  <c r="X85" i="1" l="1"/>
  <c r="J13" i="15"/>
  <c r="B87" i="10"/>
  <c r="C87" i="10"/>
  <c r="H12" i="6"/>
  <c r="Z79" i="6" s="1"/>
  <c r="X86" i="1"/>
  <c r="B93" i="1"/>
  <c r="D93" i="1" s="1"/>
  <c r="E93" i="1" s="1"/>
  <c r="H87" i="1"/>
  <c r="I87" i="1" s="1"/>
  <c r="K87" i="1" s="1"/>
  <c r="I12" i="6"/>
  <c r="Z80" i="6" s="1"/>
  <c r="G88" i="1"/>
  <c r="C88" i="1"/>
  <c r="B88" i="10" l="1"/>
  <c r="C88" i="10"/>
  <c r="J87" i="1"/>
  <c r="B94" i="1"/>
  <c r="D94" i="1" s="1"/>
  <c r="E94" i="1" s="1"/>
  <c r="H88" i="1"/>
  <c r="I88" i="1" s="1"/>
  <c r="K88" i="1" s="1"/>
  <c r="H89" i="1"/>
  <c r="I89" i="1" s="1"/>
  <c r="K89" i="1" s="1"/>
  <c r="C89" i="1"/>
  <c r="X87" i="1" l="1"/>
  <c r="L13" i="15"/>
  <c r="C89" i="10"/>
  <c r="B89" i="10"/>
  <c r="J88" i="1"/>
  <c r="J89" i="1"/>
  <c r="F14" i="15" s="1"/>
  <c r="J12" i="6"/>
  <c r="Z81" i="6" s="1"/>
  <c r="B95" i="1"/>
  <c r="D95" i="1" s="1"/>
  <c r="E95" i="1" s="1"/>
  <c r="G89" i="1"/>
  <c r="G90" i="1"/>
  <c r="C90" i="1"/>
  <c r="X88" i="1" l="1"/>
  <c r="M13" i="15"/>
  <c r="S13" i="15" s="1"/>
  <c r="T13" i="15" s="1"/>
  <c r="U13" i="15" s="1"/>
  <c r="V13" i="15" s="1"/>
  <c r="W13" i="15" s="1"/>
  <c r="X13" i="15" s="1"/>
  <c r="Y13" i="15" s="1"/>
  <c r="O13" i="15" s="1"/>
  <c r="O29" i="1" s="1"/>
  <c r="Q13" i="15"/>
  <c r="C90" i="10"/>
  <c r="B90" i="10"/>
  <c r="K12" i="6"/>
  <c r="Z82" i="6" s="1"/>
  <c r="D13" i="6"/>
  <c r="Z83" i="6" s="1"/>
  <c r="B96" i="1"/>
  <c r="D96" i="1" s="1"/>
  <c r="E96" i="1" s="1"/>
  <c r="H90" i="1"/>
  <c r="I90" i="1" s="1"/>
  <c r="K90" i="1" s="1"/>
  <c r="X89" i="1"/>
  <c r="G91" i="1"/>
  <c r="C91" i="1"/>
  <c r="O12" i="6" l="1"/>
  <c r="Q29" i="1" s="1"/>
  <c r="Q12" i="6"/>
  <c r="R12" i="6" s="1"/>
  <c r="S12" i="6" s="1"/>
  <c r="T12" i="6" s="1"/>
  <c r="U12" i="6" s="1"/>
  <c r="V12" i="6" s="1"/>
  <c r="M12" i="6" s="1"/>
  <c r="S29" i="1" s="1"/>
  <c r="C91" i="10"/>
  <c r="B91" i="10"/>
  <c r="J90" i="1"/>
  <c r="B97" i="1"/>
  <c r="D97" i="1" s="1"/>
  <c r="E97" i="1" s="1"/>
  <c r="H91" i="1"/>
  <c r="I91" i="1" s="1"/>
  <c r="K91" i="1" s="1"/>
  <c r="H92" i="1"/>
  <c r="I92" i="1" s="1"/>
  <c r="K92" i="1" s="1"/>
  <c r="C92" i="1"/>
  <c r="X90" i="1" l="1"/>
  <c r="G14" i="15"/>
  <c r="B92" i="10"/>
  <c r="C92" i="10"/>
  <c r="J92" i="1"/>
  <c r="I14" i="15" s="1"/>
  <c r="J91" i="1"/>
  <c r="E13" i="6"/>
  <c r="Z84" i="6" s="1"/>
  <c r="B98" i="1"/>
  <c r="D98" i="1" s="1"/>
  <c r="E98" i="1" s="1"/>
  <c r="G92" i="1"/>
  <c r="H93" i="1"/>
  <c r="I93" i="1" s="1"/>
  <c r="K93" i="1" s="1"/>
  <c r="C93" i="1"/>
  <c r="X91" i="1" l="1"/>
  <c r="H14" i="15"/>
  <c r="C93" i="10"/>
  <c r="B93" i="10"/>
  <c r="F13" i="6"/>
  <c r="Z85" i="6" s="1"/>
  <c r="J93" i="1"/>
  <c r="J14" i="15" s="1"/>
  <c r="B99" i="1"/>
  <c r="D99" i="1" s="1"/>
  <c r="E99" i="1" s="1"/>
  <c r="X92" i="1"/>
  <c r="G93" i="1"/>
  <c r="H94" i="1"/>
  <c r="I94" i="1" s="1"/>
  <c r="K94" i="1" s="1"/>
  <c r="C94" i="1"/>
  <c r="C94" i="10" l="1"/>
  <c r="B94" i="10"/>
  <c r="J94" i="1"/>
  <c r="K14" i="15" s="1"/>
  <c r="B100" i="1"/>
  <c r="D100" i="1" s="1"/>
  <c r="E100" i="1" s="1"/>
  <c r="G13" i="6"/>
  <c r="Z86" i="6" s="1"/>
  <c r="G94" i="1"/>
  <c r="G95" i="1"/>
  <c r="C95" i="1"/>
  <c r="C95" i="10" l="1"/>
  <c r="B95" i="10"/>
  <c r="B101" i="1"/>
  <c r="D101" i="1" s="1"/>
  <c r="E101" i="1" s="1"/>
  <c r="I13" i="6"/>
  <c r="Z88" i="6" s="1"/>
  <c r="H95" i="1"/>
  <c r="I95" i="1" s="1"/>
  <c r="K95" i="1" s="1"/>
  <c r="X94" i="1"/>
  <c r="H13" i="6"/>
  <c r="Z87" i="6" s="1"/>
  <c r="X93" i="1"/>
  <c r="G96" i="1"/>
  <c r="C96" i="1"/>
  <c r="B96" i="10" l="1"/>
  <c r="C96" i="10"/>
  <c r="J95" i="1"/>
  <c r="B102" i="1"/>
  <c r="D102" i="1" s="1"/>
  <c r="E102" i="1" s="1"/>
  <c r="H96" i="1"/>
  <c r="I96" i="1" s="1"/>
  <c r="K96" i="1" s="1"/>
  <c r="H97" i="1"/>
  <c r="I97" i="1" s="1"/>
  <c r="K97" i="1" s="1"/>
  <c r="C97" i="1"/>
  <c r="J13" i="6" l="1"/>
  <c r="Z89" i="6" s="1"/>
  <c r="L14" i="15"/>
  <c r="C97" i="10"/>
  <c r="B97" i="10"/>
  <c r="J96" i="1"/>
  <c r="J97" i="1"/>
  <c r="X95" i="1"/>
  <c r="B103" i="1"/>
  <c r="G97" i="1"/>
  <c r="H98" i="1"/>
  <c r="I98" i="1" s="1"/>
  <c r="K98" i="1" s="1"/>
  <c r="C98" i="1"/>
  <c r="D14" i="6" l="1"/>
  <c r="Z91" i="6" s="1"/>
  <c r="F15" i="15"/>
  <c r="Q14" i="15"/>
  <c r="X96" i="1"/>
  <c r="M14" i="15"/>
  <c r="S14" i="15" s="1"/>
  <c r="T14" i="15" s="1"/>
  <c r="U14" i="15" s="1"/>
  <c r="V14" i="15" s="1"/>
  <c r="W14" i="15" s="1"/>
  <c r="X14" i="15" s="1"/>
  <c r="Y14" i="15" s="1"/>
  <c r="O14" i="15" s="1"/>
  <c r="O30" i="1" s="1"/>
  <c r="M19" i="15"/>
  <c r="D103" i="1"/>
  <c r="K13" i="6"/>
  <c r="Z90" i="6" s="1"/>
  <c r="C98" i="10"/>
  <c r="B98" i="10"/>
  <c r="J98" i="1"/>
  <c r="G15" i="15" s="1"/>
  <c r="O13" i="6"/>
  <c r="Q30" i="1" s="1"/>
  <c r="K18" i="6"/>
  <c r="G98" i="1"/>
  <c r="X97" i="1"/>
  <c r="G99" i="1"/>
  <c r="C99" i="1"/>
  <c r="B10" i="13" l="1"/>
  <c r="E103" i="1"/>
  <c r="Q13" i="6"/>
  <c r="R13" i="6" s="1"/>
  <c r="S13" i="6" s="1"/>
  <c r="T13" i="6" s="1"/>
  <c r="U13" i="6" s="1"/>
  <c r="V13" i="6" s="1"/>
  <c r="M13" i="6" s="1"/>
  <c r="S30" i="1" s="1"/>
  <c r="Q19" i="15"/>
  <c r="S19" i="15"/>
  <c r="T19" i="15" s="1"/>
  <c r="U19" i="15" s="1"/>
  <c r="V19" i="15" s="1"/>
  <c r="W19" i="15" s="1"/>
  <c r="X19" i="15" s="1"/>
  <c r="Y19" i="15" s="1"/>
  <c r="O19" i="15" s="1"/>
  <c r="O35" i="1" s="1"/>
  <c r="E14" i="6"/>
  <c r="Z92" i="6" s="1"/>
  <c r="Z130" i="6"/>
  <c r="O18" i="6"/>
  <c r="Q18" i="6"/>
  <c r="R18" i="6" s="1"/>
  <c r="S18" i="6" s="1"/>
  <c r="T18" i="6" s="1"/>
  <c r="U18" i="6" s="1"/>
  <c r="V18" i="6" s="1"/>
  <c r="M18" i="6" s="1"/>
  <c r="E2" i="3"/>
  <c r="H99" i="1"/>
  <c r="I99" i="1" s="1"/>
  <c r="K99" i="1" s="1"/>
  <c r="X98" i="1"/>
  <c r="G100" i="1"/>
  <c r="C100" i="1"/>
  <c r="J99" i="1" l="1"/>
  <c r="S35" i="1"/>
  <c r="Q35" i="1"/>
  <c r="H100" i="1"/>
  <c r="I100" i="1" s="1"/>
  <c r="K100" i="1" s="1"/>
  <c r="G101" i="1"/>
  <c r="C101" i="1"/>
  <c r="X99" i="1" l="1"/>
  <c r="H15" i="15"/>
  <c r="J100" i="1"/>
  <c r="F14" i="6"/>
  <c r="Z93" i="6" s="1"/>
  <c r="H101" i="1"/>
  <c r="I101" i="1" s="1"/>
  <c r="K101" i="1" s="1"/>
  <c r="G102" i="1"/>
  <c r="C102" i="1"/>
  <c r="G14" i="6" l="1"/>
  <c r="Z94" i="6" s="1"/>
  <c r="I15" i="15"/>
  <c r="X100" i="1"/>
  <c r="J101" i="1"/>
  <c r="H102" i="1"/>
  <c r="I102" i="1" s="1"/>
  <c r="K102" i="1" s="1"/>
  <c r="H103" i="1"/>
  <c r="I103" i="1" s="1"/>
  <c r="K103" i="1" s="1"/>
  <c r="C103" i="1"/>
  <c r="N9" i="3" s="1"/>
  <c r="H14" i="6" l="1"/>
  <c r="Z95" i="6" s="1"/>
  <c r="J15" i="15"/>
  <c r="O9" i="3"/>
  <c r="X101" i="1"/>
  <c r="J103" i="1"/>
  <c r="J102" i="1"/>
  <c r="P9" i="3"/>
  <c r="Q9" i="3" s="1"/>
  <c r="N10" i="3"/>
  <c r="G103" i="1"/>
  <c r="V9" i="3" l="1"/>
  <c r="U9" i="3"/>
  <c r="I14" i="6"/>
  <c r="Z96" i="6" s="1"/>
  <c r="K15" i="15"/>
  <c r="Q15" i="15" s="1"/>
  <c r="G6" i="1"/>
  <c r="L15" i="15"/>
  <c r="X9" i="3"/>
  <c r="O10" i="3"/>
  <c r="S9" i="3"/>
  <c r="X102" i="1"/>
  <c r="R9" i="3"/>
  <c r="P10" i="3"/>
  <c r="Q10" i="3" s="1"/>
  <c r="N11" i="3"/>
  <c r="P8" i="3"/>
  <c r="X103" i="1"/>
  <c r="J14" i="6"/>
  <c r="X104" i="1"/>
  <c r="S8" i="3" l="1"/>
  <c r="Q8" i="3"/>
  <c r="S15" i="15"/>
  <c r="T15" i="15" s="1"/>
  <c r="U15" i="15" s="1"/>
  <c r="V15" i="15" s="1"/>
  <c r="W15" i="15" s="1"/>
  <c r="X15" i="15" s="1"/>
  <c r="Y15" i="15" s="1"/>
  <c r="O15" i="15" s="1"/>
  <c r="O31" i="1" s="1"/>
  <c r="V10" i="3"/>
  <c r="U10" i="3"/>
  <c r="T9" i="3"/>
  <c r="X10" i="3"/>
  <c r="O11" i="3"/>
  <c r="S10" i="3"/>
  <c r="Q14" i="6"/>
  <c r="R14" i="6" s="1"/>
  <c r="S14" i="6" s="1"/>
  <c r="T14" i="6" s="1"/>
  <c r="U14" i="6" s="1"/>
  <c r="Z97" i="6"/>
  <c r="R10" i="3"/>
  <c r="O14" i="6"/>
  <c r="Q31" i="1" s="1"/>
  <c r="P11" i="3"/>
  <c r="Q11" i="3" s="1"/>
  <c r="N12" i="3"/>
  <c r="V8" i="3" l="1"/>
  <c r="U8" i="3"/>
  <c r="X8" i="3"/>
  <c r="V11" i="3"/>
  <c r="U11" i="3"/>
  <c r="X11" i="3"/>
  <c r="O12" i="3"/>
  <c r="T10" i="3"/>
  <c r="S11" i="3"/>
  <c r="V14" i="6"/>
  <c r="M14" i="6" s="1"/>
  <c r="S31" i="1" s="1"/>
  <c r="R8" i="3"/>
  <c r="T8" i="3" s="1"/>
  <c r="U4" i="3"/>
  <c r="R11" i="3"/>
  <c r="N13" i="3"/>
  <c r="P12" i="3"/>
  <c r="Q12" i="3" s="1"/>
  <c r="T11" i="3" l="1"/>
  <c r="V12" i="3"/>
  <c r="U12" i="3"/>
  <c r="X12" i="3"/>
  <c r="O13" i="3"/>
  <c r="S12" i="3"/>
  <c r="P13" i="3"/>
  <c r="Q13" i="3" s="1"/>
  <c r="N14" i="3"/>
  <c r="V13" i="3" l="1"/>
  <c r="U13" i="3"/>
  <c r="X13" i="3"/>
  <c r="O14" i="3"/>
  <c r="R12" i="3"/>
  <c r="T12" i="3" s="1"/>
  <c r="S13" i="3"/>
  <c r="P14" i="3"/>
  <c r="Q14" i="3" s="1"/>
  <c r="N15" i="3"/>
  <c r="V14" i="3" l="1"/>
  <c r="U14" i="3"/>
  <c r="X14" i="3"/>
  <c r="O15" i="3"/>
  <c r="R13" i="3"/>
  <c r="T13" i="3" s="1"/>
  <c r="S14" i="3"/>
  <c r="N16" i="3"/>
  <c r="P15" i="3"/>
  <c r="Q15" i="3" s="1"/>
  <c r="V15" i="3" s="1"/>
  <c r="X15" i="3" l="1"/>
  <c r="O16" i="3"/>
  <c r="R14" i="3"/>
  <c r="T14" i="3" s="1"/>
  <c r="S15" i="3"/>
  <c r="N17" i="3"/>
  <c r="P16" i="3"/>
  <c r="Q16" i="3" s="1"/>
  <c r="V16" i="3" s="1"/>
  <c r="O17" i="3" l="1"/>
  <c r="X16" i="3"/>
  <c r="S16" i="3"/>
  <c r="R15" i="3"/>
  <c r="T15" i="3" s="1"/>
  <c r="U15" i="3" s="1"/>
  <c r="N18" i="3"/>
  <c r="P17" i="3"/>
  <c r="Q17" i="3" s="1"/>
  <c r="V17" i="3" s="1"/>
  <c r="O18" i="3" l="1"/>
  <c r="X17" i="3"/>
  <c r="S17" i="3"/>
  <c r="R16" i="3"/>
  <c r="T16" i="3" s="1"/>
  <c r="U16" i="3" s="1"/>
  <c r="N19" i="3"/>
  <c r="P18" i="3"/>
  <c r="Q18" i="3" s="1"/>
  <c r="V18" i="3" s="1"/>
  <c r="O19" i="3" l="1"/>
  <c r="X18" i="3"/>
  <c r="S18" i="3"/>
  <c r="R17" i="3"/>
  <c r="T17" i="3" s="1"/>
  <c r="U17" i="3" s="1"/>
  <c r="N20" i="3"/>
  <c r="P19" i="3"/>
  <c r="Q19" i="3" s="1"/>
  <c r="V19" i="3" s="1"/>
  <c r="O20" i="3" l="1"/>
  <c r="X19" i="3"/>
  <c r="S19" i="3"/>
  <c r="R18" i="3"/>
  <c r="T18" i="3" s="1"/>
  <c r="U18" i="3" s="1"/>
  <c r="N21" i="3"/>
  <c r="P20" i="3"/>
  <c r="Q20" i="3" s="1"/>
  <c r="V20" i="3" s="1"/>
  <c r="O21" i="3" l="1"/>
  <c r="X20" i="3"/>
  <c r="S20" i="3"/>
  <c r="R19" i="3"/>
  <c r="T19" i="3" s="1"/>
  <c r="U19" i="3" s="1"/>
  <c r="N22" i="3"/>
  <c r="P21" i="3"/>
  <c r="Q21" i="3" s="1"/>
  <c r="V21" i="3" s="1"/>
  <c r="O22" i="3" l="1"/>
  <c r="X21" i="3"/>
  <c r="S21" i="3"/>
  <c r="R20" i="3"/>
  <c r="T20" i="3" s="1"/>
  <c r="U20" i="3" s="1"/>
  <c r="N23" i="3"/>
  <c r="P22" i="3"/>
  <c r="Q22" i="3" s="1"/>
  <c r="V22" i="3" s="1"/>
  <c r="O23" i="3" l="1"/>
  <c r="X22" i="3"/>
  <c r="S22" i="3"/>
  <c r="R21" i="3"/>
  <c r="T21" i="3" s="1"/>
  <c r="U21" i="3" s="1"/>
  <c r="N24" i="3"/>
  <c r="P23" i="3"/>
  <c r="Q23" i="3" s="1"/>
  <c r="V23" i="3" s="1"/>
  <c r="O24" i="3" l="1"/>
  <c r="X23" i="3"/>
  <c r="S23" i="3"/>
  <c r="R22" i="3"/>
  <c r="T22" i="3" s="1"/>
  <c r="U22" i="3" s="1"/>
  <c r="N25" i="3"/>
  <c r="P24" i="3"/>
  <c r="Q24" i="3" s="1"/>
  <c r="V24" i="3" s="1"/>
  <c r="O25" i="3" l="1"/>
  <c r="X24" i="3"/>
  <c r="S24" i="3"/>
  <c r="R23" i="3"/>
  <c r="T23" i="3" s="1"/>
  <c r="U23" i="3" s="1"/>
  <c r="N26" i="3"/>
  <c r="P25" i="3"/>
  <c r="Q25" i="3" s="1"/>
  <c r="V25" i="3" s="1"/>
  <c r="O26" i="3" l="1"/>
  <c r="X25" i="3"/>
  <c r="S25" i="3"/>
  <c r="R24" i="3"/>
  <c r="T24" i="3" s="1"/>
  <c r="U24" i="3" s="1"/>
  <c r="N27" i="3"/>
  <c r="P26" i="3"/>
  <c r="Q26" i="3" s="1"/>
  <c r="V26" i="3" s="1"/>
  <c r="O27" i="3" l="1"/>
  <c r="X26" i="3"/>
  <c r="S26" i="3"/>
  <c r="R25" i="3"/>
  <c r="T25" i="3" s="1"/>
  <c r="U25" i="3" s="1"/>
  <c r="P27" i="3"/>
  <c r="Q27" i="3" s="1"/>
  <c r="N28" i="3"/>
  <c r="V27" i="3" l="1"/>
  <c r="U27" i="3"/>
  <c r="O28" i="3"/>
  <c r="X27" i="3"/>
  <c r="S27" i="3"/>
  <c r="R26" i="3"/>
  <c r="T26" i="3" s="1"/>
  <c r="U26" i="3" s="1"/>
  <c r="P28" i="3"/>
  <c r="Q28" i="3" s="1"/>
  <c r="R27" i="3"/>
  <c r="N29" i="3"/>
  <c r="V28" i="3" l="1"/>
  <c r="U28" i="3"/>
  <c r="T27" i="3"/>
  <c r="X28" i="3"/>
  <c r="O29" i="3"/>
  <c r="S28" i="3"/>
  <c r="P29" i="3"/>
  <c r="S29" i="3" s="1"/>
  <c r="N30" i="3"/>
  <c r="Q29" i="3" l="1"/>
  <c r="X29" i="3" s="1"/>
  <c r="O30" i="3"/>
  <c r="R28" i="3"/>
  <c r="T28" i="3" s="1"/>
  <c r="P30" i="3"/>
  <c r="Q30" i="3" s="1"/>
  <c r="N31" i="3"/>
  <c r="V30" i="3" l="1"/>
  <c r="U30" i="3"/>
  <c r="V29" i="3"/>
  <c r="U29" i="3"/>
  <c r="X30" i="3"/>
  <c r="O31" i="3"/>
  <c r="R29" i="3"/>
  <c r="T29" i="3" s="1"/>
  <c r="S30" i="3"/>
  <c r="P31" i="3"/>
  <c r="Q31" i="3" s="1"/>
  <c r="N32" i="3"/>
  <c r="V31" i="3" l="1"/>
  <c r="U31" i="3"/>
  <c r="O32" i="3"/>
  <c r="X31" i="3"/>
  <c r="R30" i="3"/>
  <c r="T30" i="3" s="1"/>
  <c r="S31" i="3"/>
  <c r="P32" i="3"/>
  <c r="Q32" i="3" s="1"/>
  <c r="R31" i="3"/>
  <c r="N33" i="3"/>
  <c r="V32" i="3" l="1"/>
  <c r="U32" i="3"/>
  <c r="O33" i="3"/>
  <c r="X32" i="3"/>
  <c r="T31" i="3"/>
  <c r="S32" i="3"/>
  <c r="P33" i="3"/>
  <c r="S33" i="3" s="1"/>
  <c r="R32" i="3"/>
  <c r="N34" i="3"/>
  <c r="Q33" i="3" l="1"/>
  <c r="X33" i="3" s="1"/>
  <c r="O34" i="3"/>
  <c r="T32" i="3"/>
  <c r="P34" i="3"/>
  <c r="Q34" i="3" s="1"/>
  <c r="N35" i="3"/>
  <c r="R33" i="3" l="1"/>
  <c r="T33" i="3" s="1"/>
  <c r="V34" i="3"/>
  <c r="U34" i="3"/>
  <c r="V33" i="3"/>
  <c r="U33" i="3"/>
  <c r="X34" i="3"/>
  <c r="Q35" i="3"/>
  <c r="O35" i="3"/>
  <c r="S34" i="3"/>
  <c r="P35" i="3"/>
  <c r="S35" i="3" s="1"/>
  <c r="R34" i="3"/>
  <c r="N36" i="3"/>
  <c r="V35" i="3" l="1"/>
  <c r="U35" i="3"/>
  <c r="O36" i="3"/>
  <c r="X35" i="3"/>
  <c r="T34" i="3"/>
  <c r="P36" i="3"/>
  <c r="S36" i="3" s="1"/>
  <c r="R35" i="3"/>
  <c r="T35" i="3" s="1"/>
  <c r="N37" i="3"/>
  <c r="Q36" i="3" l="1"/>
  <c r="X36" i="3" s="1"/>
  <c r="O37" i="3"/>
  <c r="P37" i="3"/>
  <c r="Q37" i="3" s="1"/>
  <c r="N38" i="3"/>
  <c r="R36" i="3" l="1"/>
  <c r="T36" i="3" s="1"/>
  <c r="V37" i="3"/>
  <c r="U37" i="3"/>
  <c r="V36" i="3"/>
  <c r="U36" i="3"/>
  <c r="O38" i="3"/>
  <c r="X37" i="3"/>
  <c r="S37" i="3"/>
  <c r="P38" i="3"/>
  <c r="Q38" i="3" s="1"/>
  <c r="R37" i="3"/>
  <c r="N39" i="3"/>
  <c r="V38" i="3" l="1"/>
  <c r="U38" i="3"/>
  <c r="X38" i="3"/>
  <c r="O39" i="3"/>
  <c r="S38" i="3"/>
  <c r="T37" i="3"/>
  <c r="P39" i="3"/>
  <c r="S39" i="3" s="1"/>
  <c r="N40" i="3"/>
  <c r="Q39" i="3" l="1"/>
  <c r="X39" i="3" s="1"/>
  <c r="Q40" i="3"/>
  <c r="O40" i="3"/>
  <c r="R38" i="3"/>
  <c r="T38" i="3" s="1"/>
  <c r="P40" i="3"/>
  <c r="N41" i="3"/>
  <c r="R39" i="3" l="1"/>
  <c r="T39" i="3" s="1"/>
  <c r="V40" i="3"/>
  <c r="U40" i="3"/>
  <c r="V39" i="3"/>
  <c r="U39" i="3"/>
  <c r="X40" i="3"/>
  <c r="O41" i="3"/>
  <c r="Q41" i="3"/>
  <c r="S40" i="3"/>
  <c r="P41" i="3"/>
  <c r="S41" i="3" s="1"/>
  <c r="R40" i="3"/>
  <c r="N42" i="3"/>
  <c r="V41" i="3" l="1"/>
  <c r="U41" i="3"/>
  <c r="O42" i="3"/>
  <c r="X41" i="3"/>
  <c r="T40" i="3"/>
  <c r="P42" i="3"/>
  <c r="Q42" i="3" s="1"/>
  <c r="R41" i="3"/>
  <c r="T41" i="3" s="1"/>
  <c r="N43" i="3"/>
  <c r="V42" i="3" l="1"/>
  <c r="U42" i="3"/>
  <c r="O43" i="3"/>
  <c r="X42" i="3"/>
  <c r="S42" i="3"/>
  <c r="P43" i="3"/>
  <c r="Q43" i="3" s="1"/>
  <c r="R42" i="3"/>
  <c r="N44" i="3"/>
  <c r="V43" i="3" l="1"/>
  <c r="U43" i="3"/>
  <c r="O44" i="3"/>
  <c r="X43" i="3"/>
  <c r="S43" i="3"/>
  <c r="T42" i="3"/>
  <c r="P44" i="3"/>
  <c r="Q44" i="3" s="1"/>
  <c r="N45" i="3"/>
  <c r="V44" i="3" l="1"/>
  <c r="U44" i="3"/>
  <c r="O45" i="3"/>
  <c r="X44" i="3"/>
  <c r="R43" i="3"/>
  <c r="T43" i="3" s="1"/>
  <c r="S44" i="3"/>
  <c r="P45" i="3"/>
  <c r="Q45" i="3" s="1"/>
  <c r="N46" i="3"/>
  <c r="V45" i="3" l="1"/>
  <c r="U45" i="3"/>
  <c r="O46" i="3"/>
  <c r="Q46" i="3"/>
  <c r="X45" i="3"/>
  <c r="R44" i="3"/>
  <c r="T44" i="3" s="1"/>
  <c r="S45" i="3"/>
  <c r="P46" i="3"/>
  <c r="N47" i="3"/>
  <c r="V46" i="3" l="1"/>
  <c r="U46" i="3"/>
  <c r="Q47" i="3"/>
  <c r="O47" i="3"/>
  <c r="X46" i="3"/>
  <c r="R45" i="3"/>
  <c r="T45" i="3" s="1"/>
  <c r="S46" i="3"/>
  <c r="P47" i="3"/>
  <c r="S47" i="3" s="1"/>
  <c r="R46" i="3"/>
  <c r="N48" i="3"/>
  <c r="V47" i="3" l="1"/>
  <c r="U47" i="3"/>
  <c r="Q48" i="3"/>
  <c r="O48" i="3"/>
  <c r="X47" i="3"/>
  <c r="T46" i="3"/>
  <c r="P48" i="3"/>
  <c r="S48" i="3" s="1"/>
  <c r="R47" i="3"/>
  <c r="T47" i="3" s="1"/>
  <c r="N49" i="3"/>
  <c r="V48" i="3" l="1"/>
  <c r="U48" i="3"/>
  <c r="O49" i="3"/>
  <c r="Q49" i="3"/>
  <c r="X48" i="3"/>
  <c r="P49" i="3"/>
  <c r="S49" i="3" s="1"/>
  <c r="R48" i="3"/>
  <c r="T48" i="3" s="1"/>
  <c r="V49" i="3" l="1"/>
  <c r="U49" i="3"/>
  <c r="X49" i="3"/>
  <c r="X7" i="3" s="1"/>
  <c r="D2" i="3" s="1"/>
  <c r="R49" i="3"/>
  <c r="T49" i="3" s="1"/>
  <c r="E8" i="14"/>
  <c r="E9" i="14" s="1"/>
  <c r="B2" i="14" l="1"/>
  <c r="B6" i="13" s="1"/>
  <c r="B8" i="1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Un utilisateur satisfait de Microsoft Office</author>
    <author>transmic</author>
    <author>Thierry</author>
  </authors>
  <commentList>
    <comment ref="F5" authorId="0" shapeId="0" xr:uid="{00000000-0006-0000-0100-000001000000}">
      <text>
        <r>
          <rPr>
            <b/>
            <sz val="8"/>
            <color indexed="10"/>
            <rFont val="Tahoma"/>
            <family val="2"/>
          </rPr>
          <t>Very important.</t>
        </r>
        <r>
          <rPr>
            <b/>
            <sz val="8"/>
            <color indexed="81"/>
            <rFont val="Tahoma"/>
            <family val="2"/>
          </rPr>
          <t xml:space="preserve">
Enter this value according
to your engine.</t>
        </r>
      </text>
    </comment>
    <comment ref="B9" authorId="1" shapeId="0" xr:uid="{00000000-0006-0000-0100-000002000000}">
      <text>
        <r>
          <rPr>
            <b/>
            <sz val="8"/>
            <color indexed="81"/>
            <rFont val="Tahoma"/>
            <family val="2"/>
          </rPr>
          <t>Set the maximum RPM</t>
        </r>
        <r>
          <rPr>
            <sz val="8"/>
            <color indexed="81"/>
            <rFont val="Tahoma"/>
            <family val="2"/>
          </rPr>
          <t xml:space="preserve">
by Selecting a value</t>
        </r>
      </text>
    </comment>
    <comment ref="F9" authorId="0" shapeId="0" xr:uid="{00000000-0006-0000-0100-000003000000}">
      <text>
        <r>
          <rPr>
            <b/>
            <sz val="8"/>
            <color indexed="81"/>
            <rFont val="Tahoma"/>
            <family val="2"/>
          </rPr>
          <t>Change those values
according to the
advance curve you want</t>
        </r>
      </text>
    </comment>
    <comment ref="M24" authorId="2" shapeId="0" xr:uid="{00000000-0006-0000-0100-000004000000}">
      <text>
        <r>
          <rPr>
            <b/>
            <sz val="9"/>
            <color indexed="81"/>
            <rFont val="Tahoma"/>
            <family val="2"/>
          </rPr>
          <t>Enter the value according
to your engine.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i/>
            <sz val="9"/>
            <color indexed="81"/>
            <rFont val="Tahoma"/>
            <family val="2"/>
          </rPr>
          <t>1 or 2 cylinder(s)</t>
        </r>
      </text>
    </comment>
    <comment ref="L26" authorId="2" shapeId="0" xr:uid="{00000000-0006-0000-0100-000005000000}">
      <text>
        <r>
          <rPr>
            <sz val="9"/>
            <color indexed="81"/>
            <rFont val="Tahoma"/>
            <charset val="1"/>
          </rPr>
          <t xml:space="preserve"> Pickup on crankshaft = Wasted spark
 Pickup on camshaft = No wasted spark</t>
        </r>
      </text>
    </comment>
    <comment ref="M30" authorId="2" shapeId="0" xr:uid="{00000000-0006-0000-0100-000006000000}">
      <text>
        <r>
          <rPr>
            <b/>
            <sz val="9"/>
            <color indexed="81"/>
            <rFont val="Tahoma"/>
            <family val="2"/>
          </rPr>
          <t>Choose a value that let you draw your desired advance curve without Excel errors.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i/>
            <sz val="9"/>
            <color indexed="81"/>
            <rFont val="Tahoma"/>
            <family val="2"/>
          </rPr>
          <t>1,2(default),3,4
Prescaler is a mathematical divider inside the processor. it must be set to a value that doesn't give errors in XLS but give higher values in column J</t>
        </r>
      </text>
    </comment>
    <comment ref="M32" authorId="2" shapeId="0" xr:uid="{00000000-0006-0000-0100-000007000000}">
      <text>
        <r>
          <rPr>
            <sz val="9"/>
            <color indexed="81"/>
            <rFont val="Tahoma"/>
            <family val="2"/>
          </rPr>
          <t>SCR gate pulse duration
from 0,5ms [default] until 5ms
or Auto mode: pickup duration = 36°</t>
        </r>
      </text>
    </comment>
    <comment ref="M34" authorId="2" shapeId="0" xr:uid="{00000000-0006-0000-0100-000008000000}">
      <text>
        <r>
          <rPr>
            <sz val="9"/>
            <color indexed="81"/>
            <rFont val="Tahoma"/>
            <family val="2"/>
          </rPr>
          <t xml:space="preserve">Limit Revs if </t>
        </r>
        <r>
          <rPr>
            <b/>
            <sz val="9"/>
            <color indexed="81"/>
            <rFont val="Tahoma"/>
            <family val="2"/>
          </rPr>
          <t xml:space="preserve">JP2 </t>
        </r>
        <r>
          <rPr>
            <sz val="9"/>
            <color indexed="81"/>
            <rFont val="Tahoma"/>
            <family val="2"/>
          </rPr>
          <t>is grounded,</t>
        </r>
      </text>
    </comment>
    <comment ref="M36" authorId="2" shapeId="0" xr:uid="{EC0274C0-B1E2-4C3D-BCC6-A9E5D82AB424}">
      <text>
        <r>
          <rPr>
            <sz val="9"/>
            <color indexed="81"/>
            <rFont val="Tahoma"/>
            <family val="2"/>
          </rPr>
          <t>SCR gate pulse duration
from 0,5ms [default] until 5ms
or Auto mode: pickup duration = 36°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Thierry</author>
  </authors>
  <commentList>
    <comment ref="U6" authorId="0" shapeId="0" xr:uid="{00000000-0006-0000-0200-000001000000}">
      <text>
        <r>
          <rPr>
            <sz val="9"/>
            <color indexed="81"/>
            <rFont val="Tahoma"/>
            <family val="2"/>
          </rPr>
          <t>Relativement a la
position du pickup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Thierry</author>
  </authors>
  <commentList>
    <comment ref="D17" authorId="0" shapeId="0" xr:uid="{00000000-0006-0000-0400-000001000000}">
      <text>
        <r>
          <rPr>
            <sz val="9"/>
            <color indexed="81"/>
            <rFont val="Tahoma"/>
            <family val="2"/>
          </rPr>
          <t xml:space="preserve">Excel Version
</t>
        </r>
      </text>
    </comment>
    <comment ref="E17" authorId="0" shapeId="0" xr:uid="{00000000-0006-0000-0400-000002000000}">
      <text>
        <r>
          <rPr>
            <sz val="9"/>
            <color indexed="81"/>
            <rFont val="Tahoma"/>
            <family val="2"/>
          </rPr>
          <t>excel sub-version</t>
        </r>
      </text>
    </comment>
    <comment ref="F17" authorId="0" shapeId="0" xr:uid="{00000000-0006-0000-0400-000003000000}">
      <text>
        <r>
          <rPr>
            <sz val="9"/>
            <color indexed="81"/>
            <rFont val="Tahoma"/>
            <family val="2"/>
          </rPr>
          <t>excel correction-version</t>
        </r>
      </text>
    </comment>
    <comment ref="G17" authorId="0" shapeId="0" xr:uid="{00000000-0006-0000-0400-000004000000}">
      <text>
        <r>
          <rPr>
            <b/>
            <sz val="9"/>
            <color indexed="81"/>
            <rFont val="Tahoma"/>
            <family val="2"/>
          </rPr>
          <t>Pickup position:</t>
        </r>
        <r>
          <rPr>
            <sz val="9"/>
            <color indexed="81"/>
            <rFont val="Tahoma"/>
            <family val="2"/>
          </rPr>
          <t xml:space="preserve">
just as a side note</t>
        </r>
      </text>
    </comment>
    <comment ref="H17" authorId="0" shapeId="0" xr:uid="{00000000-0006-0000-0400-000005000000}">
      <text>
        <r>
          <rPr>
            <b/>
            <sz val="9"/>
            <color indexed="81"/>
            <rFont val="Tahoma"/>
            <family val="2"/>
          </rPr>
          <t>TMR Count:</t>
        </r>
        <r>
          <rPr>
            <sz val="9"/>
            <color indexed="81"/>
            <rFont val="Tahoma"/>
            <family val="2"/>
          </rPr>
          <t xml:space="preserve">
just as a side note</t>
        </r>
      </text>
    </comment>
    <comment ref="K17" authorId="0" shapeId="0" xr:uid="{64A7BF81-4745-4A98-B20C-1BFBCC37C8E6}">
      <text>
        <r>
          <rPr>
            <sz val="9"/>
            <color indexed="81"/>
            <rFont val="Tahoma"/>
            <family val="2"/>
          </rPr>
          <t>LED diag reset</t>
        </r>
      </text>
    </comment>
    <comment ref="D18" authorId="0" shapeId="0" xr:uid="{00000000-0006-0000-0400-000006000000}">
      <text>
        <r>
          <rPr>
            <b/>
            <sz val="9"/>
            <color indexed="81"/>
            <rFont val="Tahoma"/>
            <family val="2"/>
          </rPr>
          <t>Delay at kick Start:</t>
        </r>
        <r>
          <rPr>
            <sz val="9"/>
            <color indexed="81"/>
            <rFont val="Tahoma"/>
            <family val="2"/>
          </rPr>
          <t xml:space="preserve">
[vlrpm]
Adresse: 120
Position: 121</t>
        </r>
      </text>
    </comment>
    <comment ref="E18" authorId="0" shapeId="0" xr:uid="{00000000-0006-0000-0400-000007000000}">
      <text>
        <r>
          <rPr>
            <b/>
            <sz val="9"/>
            <color indexed="81"/>
            <rFont val="Tahoma"/>
            <family val="2"/>
          </rPr>
          <t>Optional RevLimit:</t>
        </r>
        <r>
          <rPr>
            <sz val="9"/>
            <color indexed="81"/>
            <rFont val="Tahoma"/>
            <family val="2"/>
          </rPr>
          <t xml:space="preserve">
[revlimitl]
Adresse: 121
Position: 122</t>
        </r>
      </text>
    </comment>
    <comment ref="F18" authorId="0" shapeId="0" xr:uid="{00000000-0006-0000-0400-000008000000}">
      <text>
        <r>
          <rPr>
            <b/>
            <sz val="9"/>
            <color indexed="81"/>
            <rFont val="Tahoma"/>
            <family val="2"/>
          </rPr>
          <t>Output width</t>
        </r>
        <r>
          <rPr>
            <sz val="9"/>
            <color indexed="81"/>
            <rFont val="Tahoma"/>
            <family val="2"/>
          </rPr>
          <t xml:space="preserve">
[dwell]
Adresse: 122
Position: 123</t>
        </r>
      </text>
    </comment>
    <comment ref="G18" authorId="0" shapeId="0" xr:uid="{00000000-0006-0000-0400-000009000000}">
      <text>
        <r>
          <rPr>
            <b/>
            <sz val="9"/>
            <color indexed="81"/>
            <rFont val="Tahoma"/>
            <family val="2"/>
          </rPr>
          <t xml:space="preserve">Prescaler
</t>
        </r>
        <r>
          <rPr>
            <sz val="9"/>
            <color indexed="81"/>
            <rFont val="Tahoma"/>
            <family val="2"/>
          </rPr>
          <t>[Prescal]
Adresse: 123
Position: 124</t>
        </r>
      </text>
    </comment>
    <comment ref="H18" authorId="0" shapeId="0" xr:uid="{00000000-0006-0000-0400-00000A000000}">
      <text>
        <r>
          <rPr>
            <b/>
            <sz val="9"/>
            <color indexed="81"/>
            <rFont val="Tahoma"/>
            <family val="2"/>
          </rPr>
          <t>Multiplier</t>
        </r>
        <r>
          <rPr>
            <sz val="9"/>
            <color indexed="81"/>
            <rFont val="Tahoma"/>
            <family val="2"/>
          </rPr>
          <t xml:space="preserve"> at low RPM 
[MultipleDelaiLowRpm]
Adresse: 124
Position: 125</t>
        </r>
      </text>
    </comment>
    <comment ref="I18" authorId="0" shapeId="0" xr:uid="{00000000-0006-0000-0400-00000B000000}">
      <text>
        <r>
          <rPr>
            <b/>
            <sz val="9"/>
            <color indexed="81"/>
            <rFont val="Tahoma"/>
            <family val="2"/>
          </rPr>
          <t>step</t>
        </r>
        <r>
          <rPr>
            <sz val="9"/>
            <color indexed="81"/>
            <rFont val="Tahoma"/>
            <family val="2"/>
          </rPr>
          <t xml:space="preserve"> in µs
[UnitPause]
Adresse: 125
Position: 126</t>
        </r>
      </text>
    </comment>
    <comment ref="J18" authorId="0" shapeId="0" xr:uid="{00000000-0006-0000-0400-00000C000000}">
      <text>
        <r>
          <rPr>
            <b/>
            <sz val="9"/>
            <color indexed="81"/>
            <rFont val="Tahoma"/>
            <family val="2"/>
          </rPr>
          <t>RPM max</t>
        </r>
        <r>
          <rPr>
            <sz val="9"/>
            <color indexed="81"/>
            <rFont val="Tahoma"/>
            <family val="2"/>
          </rPr>
          <t xml:space="preserve">
[TMR1mini]
Adresse: 126
Position: 127</t>
        </r>
      </text>
    </comment>
    <comment ref="K18" authorId="0" shapeId="0" xr:uid="{00000000-0006-0000-0400-00000D000000}">
      <text>
        <r>
          <rPr>
            <b/>
            <sz val="9"/>
            <color indexed="81"/>
            <rFont val="Tahoma"/>
            <family val="2"/>
          </rPr>
          <t>RPM min</t>
        </r>
        <r>
          <rPr>
            <sz val="9"/>
            <color indexed="81"/>
            <rFont val="Tahoma"/>
            <family val="2"/>
          </rPr>
          <t xml:space="preserve">
[TMR1maxi]
Adresse: 127
Position: 128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Thierry</author>
  </authors>
  <commentList>
    <comment ref="F18" authorId="0" shapeId="0" xr:uid="{00000000-0006-0000-0500-000001000000}">
      <text>
        <r>
          <rPr>
            <sz val="9"/>
            <color indexed="81"/>
            <rFont val="Tahoma"/>
            <family val="2"/>
          </rPr>
          <t>Excel Version</t>
        </r>
      </text>
    </comment>
    <comment ref="G18" authorId="0" shapeId="0" xr:uid="{00000000-0006-0000-0500-000002000000}">
      <text>
        <r>
          <rPr>
            <sz val="9"/>
            <color indexed="81"/>
            <rFont val="Tahoma"/>
            <family val="2"/>
          </rPr>
          <t>excel sub-version</t>
        </r>
      </text>
    </comment>
    <comment ref="H18" authorId="0" shapeId="0" xr:uid="{00000000-0006-0000-0500-000003000000}">
      <text>
        <r>
          <rPr>
            <sz val="9"/>
            <color indexed="81"/>
            <rFont val="Tahoma"/>
            <family val="2"/>
          </rPr>
          <t>excel correction-version</t>
        </r>
      </text>
    </comment>
    <comment ref="I18" authorId="0" shapeId="0" xr:uid="{00000000-0006-0000-0500-000004000000}">
      <text>
        <r>
          <rPr>
            <b/>
            <sz val="9"/>
            <color indexed="81"/>
            <rFont val="Tahoma"/>
            <family val="2"/>
          </rPr>
          <t>Pickup position:</t>
        </r>
        <r>
          <rPr>
            <sz val="9"/>
            <color indexed="81"/>
            <rFont val="Tahoma"/>
            <family val="2"/>
          </rPr>
          <t xml:space="preserve">
just as a side note</t>
        </r>
      </text>
    </comment>
    <comment ref="J18" authorId="0" shapeId="0" xr:uid="{00000000-0006-0000-0500-000005000000}">
      <text>
        <r>
          <rPr>
            <b/>
            <sz val="9"/>
            <color indexed="81"/>
            <rFont val="Tahoma"/>
            <family val="2"/>
          </rPr>
          <t>TMR Count:</t>
        </r>
        <r>
          <rPr>
            <sz val="9"/>
            <color indexed="81"/>
            <rFont val="Tahoma"/>
            <family val="2"/>
          </rPr>
          <t xml:space="preserve">
just as a side note</t>
        </r>
      </text>
    </comment>
    <comment ref="M18" authorId="0" shapeId="0" xr:uid="{BED4F862-1C7D-4946-88BE-B85C83794B1E}">
      <text>
        <r>
          <rPr>
            <sz val="9"/>
            <color indexed="81"/>
            <rFont val="Tahoma"/>
            <family val="2"/>
          </rPr>
          <t>LED diag reset</t>
        </r>
      </text>
    </comment>
    <comment ref="F19" authorId="0" shapeId="0" xr:uid="{00000000-0006-0000-0500-000006000000}">
      <text>
        <r>
          <rPr>
            <b/>
            <sz val="9"/>
            <color indexed="81"/>
            <rFont val="Tahoma"/>
            <family val="2"/>
          </rPr>
          <t>Delay at kick Start:</t>
        </r>
        <r>
          <rPr>
            <sz val="9"/>
            <color indexed="81"/>
            <rFont val="Tahoma"/>
            <family val="2"/>
          </rPr>
          <t xml:space="preserve">
[vlrpm]
Adresse: 120
Position: 121</t>
        </r>
      </text>
    </comment>
    <comment ref="G19" authorId="0" shapeId="0" xr:uid="{00000000-0006-0000-0500-000007000000}">
      <text>
        <r>
          <rPr>
            <b/>
            <sz val="9"/>
            <color indexed="81"/>
            <rFont val="Tahoma"/>
            <family val="2"/>
          </rPr>
          <t>Optional RevLimit:</t>
        </r>
        <r>
          <rPr>
            <sz val="9"/>
            <color indexed="81"/>
            <rFont val="Tahoma"/>
            <family val="2"/>
          </rPr>
          <t xml:space="preserve">
[revlimitl]
Adresse: 121
Position: 122</t>
        </r>
      </text>
    </comment>
    <comment ref="H19" authorId="0" shapeId="0" xr:uid="{00000000-0006-0000-0500-000008000000}">
      <text>
        <r>
          <rPr>
            <b/>
            <sz val="9"/>
            <color indexed="81"/>
            <rFont val="Tahoma"/>
            <family val="2"/>
          </rPr>
          <t>Output width</t>
        </r>
        <r>
          <rPr>
            <sz val="9"/>
            <color indexed="81"/>
            <rFont val="Tahoma"/>
            <family val="2"/>
          </rPr>
          <t xml:space="preserve">
[dwell]
Adresse: 122
Position: 123</t>
        </r>
      </text>
    </comment>
    <comment ref="I19" authorId="0" shapeId="0" xr:uid="{00000000-0006-0000-0500-000009000000}">
      <text>
        <r>
          <rPr>
            <b/>
            <sz val="9"/>
            <color indexed="81"/>
            <rFont val="Tahoma"/>
            <family val="2"/>
          </rPr>
          <t xml:space="preserve">Prescaler
</t>
        </r>
        <r>
          <rPr>
            <sz val="9"/>
            <color indexed="81"/>
            <rFont val="Tahoma"/>
            <family val="2"/>
          </rPr>
          <t>[Prescal]
Adresse: 123
Position: 124</t>
        </r>
      </text>
    </comment>
    <comment ref="J19" authorId="0" shapeId="0" xr:uid="{00000000-0006-0000-0500-00000A000000}">
      <text>
        <r>
          <rPr>
            <b/>
            <sz val="9"/>
            <color indexed="81"/>
            <rFont val="Tahoma"/>
            <family val="2"/>
          </rPr>
          <t>Multiplier</t>
        </r>
        <r>
          <rPr>
            <sz val="9"/>
            <color indexed="81"/>
            <rFont val="Tahoma"/>
            <family val="2"/>
          </rPr>
          <t xml:space="preserve"> at low RPM 
[MultipleDelaiLowRpm]
Adresse: 124
Position: 125</t>
        </r>
      </text>
    </comment>
    <comment ref="K19" authorId="0" shapeId="0" xr:uid="{00000000-0006-0000-0500-00000B000000}">
      <text>
        <r>
          <rPr>
            <b/>
            <sz val="9"/>
            <color indexed="81"/>
            <rFont val="Tahoma"/>
            <family val="2"/>
          </rPr>
          <t>step</t>
        </r>
        <r>
          <rPr>
            <sz val="9"/>
            <color indexed="81"/>
            <rFont val="Tahoma"/>
            <family val="2"/>
          </rPr>
          <t xml:space="preserve"> in µs
[UnitPause]
Adresse: 125
Position: 126</t>
        </r>
      </text>
    </comment>
    <comment ref="L19" authorId="0" shapeId="0" xr:uid="{00000000-0006-0000-0500-00000C000000}">
      <text>
        <r>
          <rPr>
            <b/>
            <sz val="9"/>
            <color indexed="81"/>
            <rFont val="Tahoma"/>
            <family val="2"/>
          </rPr>
          <t>RPM max</t>
        </r>
        <r>
          <rPr>
            <sz val="9"/>
            <color indexed="81"/>
            <rFont val="Tahoma"/>
            <family val="2"/>
          </rPr>
          <t xml:space="preserve">
[TMR1mini]
Adresse: 126
Position: 127</t>
        </r>
      </text>
    </comment>
    <comment ref="M19" authorId="0" shapeId="0" xr:uid="{00000000-0006-0000-0500-00000D000000}">
      <text>
        <r>
          <rPr>
            <b/>
            <sz val="9"/>
            <color indexed="81"/>
            <rFont val="Tahoma"/>
            <family val="2"/>
          </rPr>
          <t>RPM min</t>
        </r>
        <r>
          <rPr>
            <sz val="9"/>
            <color indexed="81"/>
            <rFont val="Tahoma"/>
            <family val="2"/>
          </rPr>
          <t xml:space="preserve">
[TMR1maxi]
Adresse: 127
Position: 128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Thierry</author>
  </authors>
  <commentList>
    <comment ref="F3" authorId="0" shapeId="0" xr:uid="{00000000-0006-0000-0700-000001000000}">
      <text>
        <r>
          <rPr>
            <sz val="9"/>
            <color indexed="81"/>
            <rFont val="Tahoma"/>
            <family val="2"/>
          </rPr>
          <t>FRQ=(2*CYL*RPM)/60*STROKES</t>
        </r>
      </text>
    </comment>
    <comment ref="G3" authorId="0" shapeId="0" xr:uid="{00000000-0006-0000-0700-000002000000}">
      <text>
        <r>
          <rPr>
            <sz val="9"/>
            <color indexed="81"/>
            <rFont val="Tahoma"/>
            <family val="2"/>
          </rPr>
          <t>PERIODE=(60*STROKES) / (2*CYL*RPM)</t>
        </r>
      </text>
    </comment>
    <comment ref="J3" authorId="0" shapeId="0" xr:uid="{00000000-0006-0000-0700-000003000000}">
      <text>
        <r>
          <rPr>
            <sz val="9"/>
            <color indexed="81"/>
            <rFont val="Tahoma"/>
            <family val="2"/>
          </rPr>
          <t>1°= PERIODE/360</t>
        </r>
      </text>
    </comment>
    <comment ref="K20" authorId="0" shapeId="0" xr:uid="{00000000-0006-0000-0700-000004000000}">
      <text>
        <r>
          <rPr>
            <sz val="9"/>
            <color indexed="81"/>
            <rFont val="Tahoma"/>
            <family val="2"/>
          </rPr>
          <t>TMR1=PERIODE/PRESCALER*255</t>
        </r>
      </text>
    </comment>
  </commentList>
</comments>
</file>

<file path=xl/sharedStrings.xml><?xml version="1.0" encoding="utf-8"?>
<sst xmlns="http://schemas.openxmlformats.org/spreadsheetml/2006/main" count="386" uniqueCount="294">
  <si>
    <t>prescaler</t>
  </si>
  <si>
    <t>pickup position</t>
  </si>
  <si>
    <t>RPM</t>
  </si>
  <si>
    <r>
      <t xml:space="preserve">Advance </t>
    </r>
    <r>
      <rPr>
        <sz val="10"/>
        <color indexed="9"/>
        <rFont val="Arial"/>
        <family val="2"/>
      </rPr>
      <t>(degrees)</t>
    </r>
  </si>
  <si>
    <r>
      <t xml:space="preserve">time for 1° </t>
    </r>
    <r>
      <rPr>
        <sz val="10"/>
        <color indexed="9"/>
        <rFont val="Arial"/>
        <family val="2"/>
      </rPr>
      <t>(µs)</t>
    </r>
  </si>
  <si>
    <t>Nombre de</t>
  </si>
  <si>
    <t>Nombre</t>
  </si>
  <si>
    <t>Cylindres</t>
  </si>
  <si>
    <t>de temps</t>
  </si>
  <si>
    <t>Hz</t>
  </si>
  <si>
    <t>tr/mn</t>
  </si>
  <si>
    <t>ms</t>
  </si>
  <si>
    <t>Delay</t>
  </si>
  <si>
    <t>Step</t>
  </si>
  <si>
    <t>Prescaler =</t>
  </si>
  <si>
    <t>Avance</t>
  </si>
  <si>
    <t>BTDC</t>
  </si>
  <si>
    <r>
      <t xml:space="preserve">1 </t>
    </r>
    <r>
      <rPr>
        <b/>
        <sz val="14"/>
        <color indexed="10"/>
        <rFont val="Wingdings"/>
        <charset val="2"/>
      </rPr>
      <t>ò</t>
    </r>
  </si>
  <si>
    <t>Frq</t>
  </si>
  <si>
    <t>periode</t>
  </si>
  <si>
    <t>µs</t>
  </si>
  <si>
    <t>degres</t>
  </si>
  <si>
    <t>Advance at low RPM</t>
  </si>
  <si>
    <t>degrees</t>
  </si>
  <si>
    <t>degrees BTDC</t>
  </si>
  <si>
    <t>PERIODE</t>
  </si>
  <si>
    <t>FREQUENCE</t>
  </si>
  <si>
    <t>CYLINDRE</t>
  </si>
  <si>
    <t>TEMPS</t>
  </si>
  <si>
    <t>Nbr</t>
  </si>
  <si>
    <t>pour 2cyl 2tps</t>
  </si>
  <si>
    <t>+0</t>
  </si>
  <si>
    <t>+1</t>
  </si>
  <si>
    <t>+2</t>
  </si>
  <si>
    <t>+3</t>
  </si>
  <si>
    <t>+4</t>
  </si>
  <si>
    <t>+5</t>
  </si>
  <si>
    <t>+6</t>
  </si>
  <si>
    <t>+7</t>
  </si>
  <si>
    <t>:020000040000FA</t>
  </si>
  <si>
    <t>End of File</t>
  </si>
  <si>
    <t>:00000001FF</t>
  </si>
  <si>
    <t>Values for
the map</t>
  </si>
  <si>
    <t>Bytes
 in
Row</t>
  </si>
  <si>
    <t>Pour effectuer un complément à 2 il faut :</t>
  </si>
  <si>
    <r>
      <t xml:space="preserve">Frq
</t>
    </r>
    <r>
      <rPr>
        <sz val="10"/>
        <color indexed="9"/>
        <rFont val="Arial"/>
        <family val="2"/>
      </rPr>
      <t>(Hz)</t>
    </r>
  </si>
  <si>
    <t>Number of cylinder</t>
  </si>
  <si>
    <r>
      <t xml:space="preserve">Address
Start
</t>
    </r>
    <r>
      <rPr>
        <sz val="10"/>
        <rFont val="Arial"/>
        <family val="2"/>
      </rPr>
      <t>(dec)</t>
    </r>
  </si>
  <si>
    <r>
      <t xml:space="preserve">Address
</t>
    </r>
    <r>
      <rPr>
        <sz val="10"/>
        <rFont val="Arial"/>
        <family val="2"/>
      </rPr>
      <t>(hex)</t>
    </r>
  </si>
  <si>
    <t>Si 2 derniers chiffres de h100 = 00: cksum OK</t>
  </si>
  <si>
    <t>http://syskb.com/creer-une-liste-deroulante-dans-excel-2010/</t>
  </si>
  <si>
    <r>
      <t xml:space="preserve">EEprom data </t>
    </r>
    <r>
      <rPr>
        <b/>
        <sz val="12"/>
        <color indexed="10"/>
        <rFont val="Wingdings"/>
        <charset val="2"/>
      </rPr>
      <t>ð</t>
    </r>
  </si>
  <si>
    <t>INTEL 8HEX format</t>
  </si>
  <si>
    <t>RAW format</t>
  </si>
  <si>
    <t>Quartz a 4MHz</t>
  </si>
  <si>
    <t>- Fosc/4 or 4MHz/4 = 1MHz</t>
  </si>
  <si>
    <r>
      <t xml:space="preserve">- </t>
    </r>
    <r>
      <rPr>
        <sz val="10"/>
        <rFont val="Arial"/>
        <family val="2"/>
      </rPr>
      <t>Prescaler sur 256 dans le registre T0CON</t>
    </r>
  </si>
  <si>
    <r>
      <t xml:space="preserve">- </t>
    </r>
    <r>
      <rPr>
        <sz val="10"/>
        <rFont val="Arial"/>
        <family val="2"/>
      </rPr>
      <t>period of the frequency input to Timer 0 :</t>
    </r>
  </si>
  <si>
    <t>1/(1MHz/256) = 256us</t>
  </si>
  <si>
    <t>This is the period of time for each count in Timer 0 i.e.</t>
  </si>
  <si>
    <t>256 * 256us = 65536us = 65.636ms = 15.26Hz</t>
  </si>
  <si>
    <t>Lorsque TMR0=10, il s'est écoulé 10x256us = 2560us = 2,6ms.</t>
  </si>
  <si>
    <t>pour trouver des tours/mn: en 1mn (soit 60sec * 1000 = 60000ms)</t>
  </si>
  <si>
    <t>Si entre temps le moteur a fait 1 tour, c'est qu'il tourne a 2,56ms par tour</t>
  </si>
  <si>
    <t>60000/2,56 = 23437 RPM</t>
  </si>
  <si>
    <t>TIMER 0</t>
  </si>
  <si>
    <t>Timer1</t>
  </si>
  <si>
    <r>
      <t xml:space="preserve">- </t>
    </r>
    <r>
      <rPr>
        <sz val="10"/>
        <rFont val="Arial"/>
        <family val="2"/>
      </rPr>
      <t>Prescaler sur 8 dans le registre T1CON</t>
    </r>
  </si>
  <si>
    <r>
      <t xml:space="preserve">- </t>
    </r>
    <r>
      <rPr>
        <sz val="10"/>
        <rFont val="Arial"/>
        <family val="2"/>
      </rPr>
      <t>period of the frequency input to Timer 1 :</t>
    </r>
  </si>
  <si>
    <t>1/(1MHz/8) = 8us</t>
  </si>
  <si>
    <r>
      <t>This is the period of time for each count in Timer 1</t>
    </r>
    <r>
      <rPr>
        <sz val="10"/>
        <rFont val="Arial"/>
        <family val="2"/>
      </rPr>
      <t xml:space="preserve"> i.e.</t>
    </r>
  </si>
  <si>
    <t>Calculator:</t>
  </si>
  <si>
    <t>http://eng-serve.com/pic/pic_timer.html</t>
  </si>
  <si>
    <t>65536 * 8us = 525ms = 1,9Hz</t>
  </si>
  <si>
    <t>high</t>
  </si>
  <si>
    <t>Période</t>
  </si>
  <si>
    <t>Régime</t>
  </si>
  <si>
    <t>Fréquence</t>
  </si>
  <si>
    <t>us</t>
  </si>
  <si>
    <t>1°</t>
  </si>
  <si>
    <t>Délai</t>
  </si>
  <si>
    <t>=&gt;</t>
  </si>
  <si>
    <t>incompressible</t>
  </si>
  <si>
    <t>delay (us)</t>
  </si>
  <si>
    <t>(us)</t>
  </si>
  <si>
    <t>°</t>
  </si>
  <si>
    <t>Propriete de l'interruption:</t>
  </si>
  <si>
    <t>(utiliser: E:\Pic\Exemples\pic_calculations.xls)</t>
  </si>
  <si>
    <t>Avec Q=4MHz, Prescaler = 256 et Preset = 0</t>
  </si>
  <si>
    <t>Liste deroulante</t>
  </si>
  <si>
    <t xml:space="preserve">selectionner la cellule </t>
  </si>
  <si>
    <t>donnees&gt; validité des données&gt; validite des donnees &gt; afficher: liste</t>
  </si>
  <si>
    <t>&lt;= avance</t>
  </si>
  <si>
    <t>&lt;= retard</t>
  </si>
  <si>
    <t>Delay of:</t>
  </si>
  <si>
    <t>multiplier</t>
  </si>
  <si>
    <t>pickup pos</t>
  </si>
  <si>
    <t>tmr count min</t>
  </si>
  <si>
    <t>TDC</t>
  </si>
  <si>
    <t>TIMER1H count</t>
  </si>
  <si>
    <t>Prescaler</t>
  </si>
  <si>
    <t>timer1h</t>
  </si>
  <si>
    <t>TIMER1</t>
  </si>
  <si>
    <t>delay =</t>
  </si>
  <si>
    <t>C'est la méthode bestiale. On convertit le nombre (positif) en base 2, puis on inverse les bits et ensuite on ajoute 1 avec propagation d'une éventuelle retenue.</t>
  </si>
  <si>
    <t>On utilise la formule suivante pour le complément à 2: Si X est le nombre négatif à convertir, la conversion de (2^16)-|X| en base 2 donne le résultat.</t>
  </si>
  <si>
    <t xml:space="preserve"> puis ajouter 1 au résultat</t>
  </si>
  <si>
    <t xml:space="preserve">The checksum value is the two's complement of the least significant byte (LSB) of the sum of all decoded byte values in the record that precede the checksum. </t>
  </si>
  <si>
    <t>It is computed by summing the decoded byte values, extracting the LSB of the sum, and calculating the two's complement of the LSB</t>
  </si>
  <si>
    <r>
      <t>(</t>
    </r>
    <r>
      <rPr>
        <i/>
        <sz val="10"/>
        <rFont val="Arial"/>
        <family val="2"/>
      </rPr>
      <t>e.g.</t>
    </r>
    <r>
      <rPr>
        <sz val="10"/>
        <rFont val="Arial"/>
        <family val="2"/>
      </rPr>
      <t>, by inverting its bits and adding one).</t>
    </r>
  </si>
  <si>
    <r>
      <t xml:space="preserve">The two's complement of </t>
    </r>
    <r>
      <rPr>
        <sz val="10"/>
        <rFont val="Arial Unicode MS"/>
        <family val="2"/>
      </rPr>
      <t>E2</t>
    </r>
    <r>
      <rPr>
        <sz val="10"/>
        <rFont val="Arial"/>
        <family val="2"/>
      </rPr>
      <t xml:space="preserve"> is </t>
    </r>
    <r>
      <rPr>
        <sz val="10"/>
        <rFont val="Courier New"/>
        <family val="3"/>
      </rPr>
      <t>1E</t>
    </r>
    <r>
      <rPr>
        <sz val="10"/>
        <rFont val="Arial"/>
        <family val="2"/>
      </rPr>
      <t>, which is the checksum appearing at the end of the record.</t>
    </r>
  </si>
  <si>
    <r>
      <t xml:space="preserve">For example, in the case of the record </t>
    </r>
    <r>
      <rPr>
        <sz val="10"/>
        <rFont val="Courier New"/>
        <family val="3"/>
      </rPr>
      <t>:0300300002337A1E</t>
    </r>
    <r>
      <rPr>
        <sz val="10"/>
        <rFont val="Arial"/>
        <family val="2"/>
      </rPr>
      <t xml:space="preserve">, the sum of the decoded byte values is </t>
    </r>
    <r>
      <rPr>
        <sz val="10"/>
        <rFont val="Courier New"/>
        <family val="3"/>
      </rPr>
      <t>03</t>
    </r>
    <r>
      <rPr>
        <sz val="10"/>
        <rFont val="Arial"/>
        <family val="2"/>
      </rPr>
      <t xml:space="preserve"> + </t>
    </r>
    <r>
      <rPr>
        <sz val="10"/>
        <rFont val="Courier New"/>
        <family val="3"/>
      </rPr>
      <t>00</t>
    </r>
    <r>
      <rPr>
        <sz val="10"/>
        <rFont val="Arial"/>
        <family val="2"/>
      </rPr>
      <t xml:space="preserve"> + </t>
    </r>
    <r>
      <rPr>
        <sz val="10"/>
        <rFont val="Courier New"/>
        <family val="3"/>
      </rPr>
      <t>30</t>
    </r>
    <r>
      <rPr>
        <sz val="10"/>
        <rFont val="Arial"/>
        <family val="2"/>
      </rPr>
      <t xml:space="preserve"> + </t>
    </r>
    <r>
      <rPr>
        <sz val="10"/>
        <rFont val="Courier New"/>
        <family val="3"/>
      </rPr>
      <t>00</t>
    </r>
    <r>
      <rPr>
        <sz val="10"/>
        <rFont val="Arial"/>
        <family val="2"/>
      </rPr>
      <t xml:space="preserve"> + </t>
    </r>
    <r>
      <rPr>
        <sz val="10"/>
        <rFont val="Courier New"/>
        <family val="3"/>
      </rPr>
      <t>02</t>
    </r>
    <r>
      <rPr>
        <sz val="10"/>
        <rFont val="Arial"/>
        <family val="2"/>
      </rPr>
      <t xml:space="preserve"> + </t>
    </r>
    <r>
      <rPr>
        <sz val="10"/>
        <rFont val="Courier New"/>
        <family val="3"/>
      </rPr>
      <t>33</t>
    </r>
    <r>
      <rPr>
        <sz val="10"/>
        <rFont val="Arial"/>
        <family val="2"/>
      </rPr>
      <t xml:space="preserve"> + </t>
    </r>
    <r>
      <rPr>
        <sz val="10"/>
        <rFont val="Courier New"/>
        <family val="3"/>
      </rPr>
      <t>7A</t>
    </r>
    <r>
      <rPr>
        <sz val="10"/>
        <rFont val="Arial"/>
        <family val="2"/>
      </rPr>
      <t xml:space="preserve"> = </t>
    </r>
    <r>
      <rPr>
        <sz val="10"/>
        <rFont val="Arial Unicode MS"/>
        <family val="2"/>
      </rPr>
      <t>E2</t>
    </r>
    <r>
      <rPr>
        <sz val="10"/>
        <rFont val="Arial"/>
        <family val="2"/>
      </rPr>
      <t>.</t>
    </r>
  </si>
  <si>
    <t>sum[dec]</t>
  </si>
  <si>
    <t>sum[hex]</t>
  </si>
  <si>
    <t>LSB</t>
  </si>
  <si>
    <t>two's
complement [dec]</t>
  </si>
  <si>
    <t>cksum</t>
  </si>
  <si>
    <t>two's
complement +1</t>
  </si>
  <si>
    <r>
      <t xml:space="preserve">4 </t>
    </r>
    <r>
      <rPr>
        <b/>
        <sz val="14"/>
        <color indexed="10"/>
        <rFont val="Wingdings"/>
        <charset val="2"/>
      </rPr>
      <t>ò</t>
    </r>
  </si>
  <si>
    <r>
      <t xml:space="preserve">2 </t>
    </r>
    <r>
      <rPr>
        <b/>
        <sz val="12"/>
        <color indexed="10"/>
        <rFont val="Wingdings"/>
        <charset val="2"/>
      </rPr>
      <t>ò</t>
    </r>
  </si>
  <si>
    <r>
      <t xml:space="preserve">3 </t>
    </r>
    <r>
      <rPr>
        <b/>
        <sz val="14"/>
        <color indexed="10"/>
        <rFont val="Wingdings"/>
        <charset val="2"/>
      </rPr>
      <t>ð</t>
    </r>
  </si>
  <si>
    <r>
      <t xml:space="preserve">- Inverser tout les bits (1 en 0, 0 en 1) (ou faire 255-chiffre) Ex: </t>
    </r>
    <r>
      <rPr>
        <sz val="10"/>
        <color rgb="FF0070C0"/>
        <rFont val="Arial"/>
        <family val="2"/>
      </rPr>
      <t>DECHEX(255-SOMME(B3:K3)+1) = DECHEX(255+1-SOMME(B3:K3)) = DECHEX(256-SOMME(B3:K3))</t>
    </r>
  </si>
  <si>
    <t>Méthode 1 (1er onglet)</t>
  </si>
  <si>
    <t>Méthode 2 (2ème onglet)</t>
  </si>
  <si>
    <t>A 15,4Hz = 924RPM, il faut 64935us pour faire un tour, donc TIMER0 a le temps d'aller jusqu’à 254 et de presque deborder:</t>
  </si>
  <si>
    <t>TIMER0 s'incremente toutes les 256us et deborde toutes les 256x256= 65536us = 65,5ms = 15,25Hz</t>
  </si>
  <si>
    <t>- on regarde si PERL est &lt; a une certaine valeur, auquel cas le moteur tourne trop vite =&gt; arret des sparks pour limiter le regime</t>
  </si>
  <si>
    <t>- on regarde si PERL est &lt; a une certaine valeur, auquel cas le moteur tourne très vite =&gt; spark immediat (sans avance)</t>
  </si>
  <si>
    <t>- Dans le soft:</t>
  </si>
  <si>
    <t>- on regarde si PERH est &gt; a une certaine valeur, auquel cas le moteur tourne très lentement</t>
  </si>
  <si>
    <t>- entre ces 2 limites, on lit un tableau qui retourne un chiffre (delay) pour chacune des 95 valeurs de PERL</t>
  </si>
  <si>
    <t>- ce DELAY est le temps d'attente (nbr de boucles d'atttente) avant d'envoyer le spark</t>
  </si>
  <si>
    <t>- Tant que pickup est bas (=0) 99% du temps, on met la valeur du TIMER0 dans la variable PERL (PERiode Low)</t>
  </si>
  <si>
    <t>- Chaque fois que TIMER0 provoque une INTerruption de debordement lorsqu'il arrive a 255,  dans la routine d'interruption on incremente TMR0H (TIMER0 High)</t>
  </si>
  <si>
    <t>- Quand le pickup est haut (=1) (pulse) :</t>
  </si>
  <si>
    <t>- on memorise la valeur de TMR0H (Nbr de debordements de TIMER0), dans PERH (PERiode High)</t>
  </si>
  <si>
    <t>- et on memorise aussi la valeur du TIMER0 dans la variable PERL.</t>
  </si>
  <si>
    <t>- puis on RAZ les timers,</t>
  </si>
  <si>
    <t>- Ainsi la durée ecoulé entre 2 pickups est stockée dans PERL et PERH.   Soit : (PERH x 255 ) + PERL</t>
  </si>
  <si>
    <t>- donc [ (PERH * 255 ) + PERL ] * 65,5ms = durée entre 2 pulses.</t>
  </si>
  <si>
    <t>Multiplier</t>
  </si>
  <si>
    <t>Cylinder(s) =</t>
  </si>
  <si>
    <t>Strokes =</t>
  </si>
  <si>
    <t xml:space="preserve">Conversion de valeurs: </t>
  </si>
  <si>
    <t>=SI(I2=2;2;(SI(I2=3;3;(SI(I2=4;4;(SI(I2=5;5;(SI(I2=6;6)))))))))</t>
  </si>
  <si>
    <t xml:space="preserve">Liste deroulante: </t>
  </si>
  <si>
    <t>Donnees&gt; Validite des donnees</t>
  </si>
  <si>
    <t>les graphes n'affichent pas la valeur #N/A  , utiliser #N/A pour faire disparaitre les points du graphe</t>
  </si>
  <si>
    <t>HZ</t>
  </si>
  <si>
    <t>L</t>
  </si>
  <si>
    <t>avec pickup
 de 50us</t>
  </si>
  <si>
    <t>avec DAC
 duree proportionnelle</t>
  </si>
  <si>
    <t>mesure N°2
oscillo</t>
  </si>
  <si>
    <t>correction1</t>
  </si>
  <si>
    <t>mesure 
N°2
oscillo</t>
  </si>
  <si>
    <t>mesure 
N°1
oscillo</t>
  </si>
  <si>
    <t>mesure
 N°2
oscillo</t>
  </si>
  <si>
    <t>mesure
 N°3
oscillo</t>
  </si>
  <si>
    <t>output width</t>
  </si>
  <si>
    <t>MCH Format</t>
  </si>
  <si>
    <t>Temps incompressible:</t>
  </si>
  <si>
    <t>avec délai = 0 dans l'eprom, il faut 71us entre la detection pickup haut et spark</t>
  </si>
  <si>
    <t>avec délai = 1 dans l'eprom, il faut 91us entre la detection pickup haut et spark (soit 71us +20us)</t>
  </si>
  <si>
    <t>le complement a 2 de 0 est egal a 0</t>
  </si>
  <si>
    <t>coef:</t>
  </si>
  <si>
    <t>DWELL = PERIODE * 50</t>
  </si>
  <si>
    <t>v7.9r13c3</t>
  </si>
  <si>
    <t>v7.9r13c2</t>
  </si>
  <si>
    <t>[HARD] Correction RA1 forcé a 1, car pullup R5 sur PCB</t>
  </si>
  <si>
    <t>[XLS] Valeur de dwell passe de 2 choix (500,1000) a 6 choix (500,1000,2000,3000,4000,5000).</t>
  </si>
  <si>
    <t>v7.9r14c0</t>
  </si>
  <si>
    <t>[SOFT,XLS] Ajout d'une valeur de dwell "AUTO" pour lequel la durée de dwell est proportionnelle a PERIODE.</t>
  </si>
  <si>
    <t>v7.9r14c1</t>
  </si>
  <si>
    <t>[SOFT] Code protection OFF</t>
  </si>
  <si>
    <t>RPM = (60*FRQ*TEMPS) / ( 2*CYL)</t>
  </si>
  <si>
    <t>FRQ = (2*CYL*RPM) / (60*TEMPS)</t>
  </si>
  <si>
    <t>DUREE</t>
  </si>
  <si>
    <t>1degré = (1000*1000*60*CYL) / ( 2*TEMPS*RPM)/360</t>
  </si>
  <si>
    <t>durée =</t>
  </si>
  <si>
    <t>degrés</t>
  </si>
  <si>
    <t>v7.9r15c0</t>
  </si>
  <si>
    <t>[SOFT] RB3 (ex TP2) n'était pas forcé en OUTPUT</t>
  </si>
  <si>
    <t>[HARD] Suppression C9-100n car courant d'appel dépasse Imax du PIC</t>
  </si>
  <si>
    <t>[HARD] Suppression TP2 inutile</t>
  </si>
  <si>
    <t>[HARD] Reduction R7 de 330 a 180 (Sinon ne declenche pas les SCR de type BTA).</t>
  </si>
  <si>
    <t>[SOFT] si JP2 a la masse alors PIC bypass la courbe d'avance et envoi spark dés que detection front descendant du pickup</t>
  </si>
  <si>
    <t>CYLINDRE:</t>
  </si>
  <si>
    <t>STROKES</t>
  </si>
  <si>
    <t>ACCURACY</t>
  </si>
  <si>
    <t>stk</t>
  </si>
  <si>
    <t>cyl</t>
  </si>
  <si>
    <t>ERROR</t>
  </si>
  <si>
    <t>[XLS] La valeur d'avance affichée dans l'onglet "advance_at_lowRPM" était fausse.</t>
  </si>
  <si>
    <t>[SOFT] boucles d'attente pkp haut et bas en ASM: Precision x10 !!</t>
  </si>
  <si>
    <t>v7.9r16c0</t>
  </si>
  <si>
    <t>relatif
pickup</t>
  </si>
  <si>
    <t>Conversion BIN to HEX:</t>
  </si>
  <si>
    <t>Position</t>
  </si>
  <si>
    <t>numero</t>
  </si>
  <si>
    <t>Puissance</t>
  </si>
  <si>
    <t>2^3</t>
  </si>
  <si>
    <t>2^2</t>
  </si>
  <si>
    <t>2^1</t>
  </si>
  <si>
    <t>2^0</t>
  </si>
  <si>
    <t>Valeur 2x4bits</t>
  </si>
  <si>
    <t>Binaire</t>
  </si>
  <si>
    <t>Valeur</t>
  </si>
  <si>
    <t>Hexa 2x4bits</t>
  </si>
  <si>
    <t>2x4bits</t>
  </si>
  <si>
    <t>Hexa</t>
  </si>
  <si>
    <t>With the values your entered, the CDI behavior will be the following:</t>
  </si>
  <si>
    <t>Where to change that?</t>
  </si>
  <si>
    <t>[XLS] Ajout documentation onglet README</t>
  </si>
  <si>
    <t>Eprom values to burn into the microcontroller</t>
  </si>
  <si>
    <t>[XLS] Tuning: a low RPM, le PIC attend 4us x PERIODE mais en vrai bcl dure plus de 4us, du coup il y a un offset de 5deg (20° affiché et 15° reels)
pour simplifier correction: la valeur delay (I1) passe de 4 a 4.4</t>
  </si>
  <si>
    <t>v7.9r16c1</t>
  </si>
  <si>
    <t>[SOFT] Calibration de la boucle 40us</t>
  </si>
  <si>
    <t>Optional Rev Limit</t>
  </si>
  <si>
    <t>[XLS] Ajout d'un Rev Limiter a l'adresse Eprom 121 si swich JP2 a la masse</t>
  </si>
  <si>
    <t>[SOFT] JP2 (ex Bypass curve) est utilisé pour activer une limitation de RPM inferieur au maxi et stocké en @121 de l'eprom (Scooter légal)</t>
  </si>
  <si>
    <t>v7.9r17c0</t>
  </si>
  <si>
    <t>ONLY YELLOW CELLS ARE CHANGEABLE</t>
  </si>
  <si>
    <t>v7.9r17c1</t>
  </si>
  <si>
    <t>[XLS] Renommage en accord avec code. Ajout RPM mini dans le titre onglet low_rpm</t>
  </si>
  <si>
    <t>v7.9r18c0</t>
  </si>
  <si>
    <t>[XLS] Ajout d'un délai at Kick Start selectionnable par le user</t>
  </si>
  <si>
    <t>[SOFT] Si TMR1 déborde, PIC attend une pause de Nbr débordements * VLRPM qui a été définie par le user et écrite en eprom. Sinon spark immediate entre 0 et 480RPM car TMR1 = 0 = croit que RPM élévés</t>
  </si>
  <si>
    <t>C)</t>
  </si>
  <si>
    <t>B)</t>
  </si>
  <si>
    <t xml:space="preserve">A) </t>
  </si>
  <si>
    <r>
      <t xml:space="preserve">cell </t>
    </r>
    <r>
      <rPr>
        <b/>
        <sz val="10"/>
        <rFont val="Arial"/>
        <family val="2"/>
      </rPr>
      <t>I2</t>
    </r>
    <r>
      <rPr>
        <sz val="10"/>
        <rFont val="Arial"/>
        <family val="2"/>
      </rPr>
      <t xml:space="preserve"> in tab "</t>
    </r>
    <r>
      <rPr>
        <sz val="10"/>
        <color rgb="FFFF0000"/>
        <rFont val="Arial"/>
        <family val="2"/>
      </rPr>
      <t>advance_at_lowRPM</t>
    </r>
    <r>
      <rPr>
        <sz val="10"/>
        <rFont val="Arial"/>
        <family val="2"/>
      </rPr>
      <t>"</t>
    </r>
  </si>
  <si>
    <r>
      <t xml:space="preserve">cell </t>
    </r>
    <r>
      <rPr>
        <b/>
        <sz val="10"/>
        <rFont val="Arial"/>
        <family val="2"/>
      </rPr>
      <t>B9</t>
    </r>
    <r>
      <rPr>
        <sz val="10"/>
        <rFont val="Arial"/>
        <family val="2"/>
      </rPr>
      <t xml:space="preserve"> in tab "</t>
    </r>
    <r>
      <rPr>
        <sz val="10"/>
        <color rgb="FFFF0000"/>
        <rFont val="Arial"/>
        <family val="2"/>
      </rPr>
      <t>Advance_curve"</t>
    </r>
  </si>
  <si>
    <r>
      <t xml:space="preserve">cells </t>
    </r>
    <r>
      <rPr>
        <b/>
        <sz val="10"/>
        <rFont val="Arial"/>
        <family val="2"/>
      </rPr>
      <t>O18 to 035</t>
    </r>
    <r>
      <rPr>
        <sz val="10"/>
        <rFont val="Arial"/>
        <family val="2"/>
      </rPr>
      <t xml:space="preserve"> in tab "</t>
    </r>
    <r>
      <rPr>
        <sz val="10"/>
        <color rgb="FFFF0000"/>
        <rFont val="Arial"/>
        <family val="2"/>
      </rPr>
      <t>Advance_curve</t>
    </r>
    <r>
      <rPr>
        <sz val="10"/>
        <rFont val="Arial"/>
        <family val="2"/>
      </rPr>
      <t>"</t>
    </r>
  </si>
  <si>
    <t>Optional rev-limiter activated by JP2 jumper</t>
  </si>
  <si>
    <r>
      <t xml:space="preserve">cell </t>
    </r>
    <r>
      <rPr>
        <b/>
        <sz val="10"/>
        <rFont val="Arial"/>
        <family val="2"/>
      </rPr>
      <t>M30</t>
    </r>
    <r>
      <rPr>
        <sz val="10"/>
        <rFont val="Arial"/>
        <family val="2"/>
      </rPr>
      <t xml:space="preserve"> in tab "</t>
    </r>
    <r>
      <rPr>
        <sz val="10"/>
        <color rgb="FFFF0000"/>
        <rFont val="Arial"/>
        <family val="2"/>
      </rPr>
      <t>Advance_curve"</t>
    </r>
  </si>
  <si>
    <t>mini:</t>
  </si>
  <si>
    <t>[SOFT] Si TMR1 déborde, PIC attend une pause d'une durée fixe VLRPM qui a été définie par le user et écrite en eprom. Sinon spark immediate entre 0 et 480RPM car TMR1 = 0 = croit que RPM élévés</t>
  </si>
  <si>
    <t>v7.9r19c0</t>
  </si>
  <si>
    <t>[XLS] Ajout step 200us permet de positionner le pkp jusqu’à 360° btdc</t>
  </si>
  <si>
    <t>[SOFT] Ajout step 200us permet de positionner le pkp jusqu’à 360° btdc</t>
  </si>
  <si>
    <t>Si une periode entre 2 pkp fait 131ms pour 360°</t>
  </si>
  <si>
    <t>alors 50° (pkp position) sont parcourus en 131/360*50 = 18ms</t>
  </si>
  <si>
    <t>clock</t>
  </si>
  <si>
    <t>Si on attend 18ms x TMR1DEB on spark pile au TDC.</t>
  </si>
  <si>
    <t>periode TMR1L</t>
  </si>
  <si>
    <t>TMR1</t>
  </si>
  <si>
    <t>pkp position</t>
  </si>
  <si>
    <t>deg</t>
  </si>
  <si>
    <t>Time from pickup position to TDC</t>
  </si>
  <si>
    <t>rpm</t>
  </si>
  <si>
    <r>
      <t>By default</t>
    </r>
    <r>
      <rPr>
        <i/>
        <sz val="9"/>
        <rFont val="Arial"/>
        <family val="2"/>
      </rPr>
      <t xml:space="preserve"> (VeryLowRPM tab)</t>
    </r>
  </si>
  <si>
    <t>debords max</t>
  </si>
  <si>
    <t>RPM mini =</t>
  </si>
  <si>
    <r>
      <t xml:space="preserve">Delay
nedeed
</t>
    </r>
    <r>
      <rPr>
        <sz val="10"/>
        <color indexed="9"/>
        <rFont val="Arial"/>
        <family val="2"/>
      </rPr>
      <t>(µs)</t>
    </r>
  </si>
  <si>
    <r>
      <t xml:space="preserve">Delay
needed
</t>
    </r>
    <r>
      <rPr>
        <sz val="10"/>
        <color indexed="9"/>
        <rFont val="Arial"/>
        <family val="2"/>
      </rPr>
      <t>(ms)</t>
    </r>
  </si>
  <si>
    <r>
      <t xml:space="preserve">Delay
to add
</t>
    </r>
    <r>
      <rPr>
        <sz val="10"/>
        <color indexed="9"/>
        <rFont val="Arial"/>
        <family val="2"/>
      </rPr>
      <t>(µs)</t>
    </r>
  </si>
  <si>
    <t>Frequence</t>
  </si>
  <si>
    <t>Periode</t>
  </si>
  <si>
    <t>v7.9r20c0</t>
  </si>
  <si>
    <t>[SOFT] Suppresion JP1: autospark et RB3 output PWM</t>
  </si>
  <si>
    <t>[SOFT] Lecture de JP2 (rev limit) dés que pkp repasse a 1, donc possible de changer rpm limit pendant la marche</t>
  </si>
  <si>
    <t>Auto</t>
  </si>
  <si>
    <t>[XLS] La valeur d'avance affichée dans l'onglet "advance_at_lowRPM" ne prenait pas en compte la position du pickup, c'était donc une valeur RELATIVE, pas ABSOLUE. Multiplicateur peut descendre a 1 (soft OK)</t>
  </si>
  <si>
    <t>[SOFT] RB3 devient RevCoil, RB5 devient sortie Tacho, meme signal que RA2</t>
  </si>
  <si>
    <t>INTEL 16HEX format</t>
  </si>
  <si>
    <r>
      <t xml:space="preserve">Address
MSB </t>
    </r>
    <r>
      <rPr>
        <sz val="10"/>
        <rFont val="Arial"/>
        <family val="2"/>
      </rPr>
      <t>(hex)</t>
    </r>
  </si>
  <si>
    <r>
      <t xml:space="preserve">Address
LSB </t>
    </r>
    <r>
      <rPr>
        <sz val="10"/>
        <rFont val="Arial"/>
        <family val="2"/>
      </rPr>
      <t>(hex)</t>
    </r>
  </si>
  <si>
    <r>
      <t xml:space="preserve">Address Start </t>
    </r>
    <r>
      <rPr>
        <sz val="9"/>
        <rFont val="Arial"/>
        <family val="2"/>
      </rPr>
      <t>(MSB)</t>
    </r>
  </si>
  <si>
    <r>
      <t xml:space="preserve">Address
Start
</t>
    </r>
    <r>
      <rPr>
        <sz val="10"/>
        <rFont val="Arial"/>
        <family val="2"/>
      </rPr>
      <t>(LSB)</t>
    </r>
  </si>
  <si>
    <t>cksum corrigé</t>
  </si>
  <si>
    <r>
      <t>:</t>
    </r>
    <r>
      <rPr>
        <b/>
        <sz val="10"/>
        <color theme="9" tint="-0.249977111117893"/>
        <rFont val="Courier New"/>
        <family val="3"/>
      </rPr>
      <t>10</t>
    </r>
    <r>
      <rPr>
        <sz val="12"/>
        <rFont val="Courier New"/>
        <family val="3"/>
      </rPr>
      <t>E000</t>
    </r>
    <r>
      <rPr>
        <b/>
        <sz val="10"/>
        <color theme="3" tint="0.39997558519241921"/>
        <rFont val="Courier New"/>
        <family val="3"/>
      </rPr>
      <t>00</t>
    </r>
    <r>
      <rPr>
        <sz val="10"/>
        <rFont val="Courier New"/>
        <family val="3"/>
      </rPr>
      <t>1B</t>
    </r>
  </si>
  <si>
    <t>:BBAAAATTHHHHHH.....HHHHCC</t>
  </si>
  <si>
    <t>BB est le nombre d'octets de données dans la ligne (en hexadécimal)</t>
  </si>
  <si>
    <t>AAAA est l'adresse absolue (ou relative) du début de la lign</t>
  </si>
  <si>
    <t>TT est le champ spécifiant le type</t>
  </si>
  <si>
    <t>HH...HHHH est le champ des données</t>
  </si>
  <si>
    <r>
      <t>00</t>
    </r>
    <r>
      <rPr>
        <sz val="10"/>
        <rFont val="Arial"/>
        <family val="2"/>
      </rPr>
      <t xml:space="preserve">, </t>
    </r>
    <r>
      <rPr>
        <i/>
        <sz val="10"/>
        <rFont val="Arial"/>
        <family val="2"/>
      </rPr>
      <t>données</t>
    </r>
    <r>
      <rPr>
        <sz val="10"/>
        <rFont val="Arial"/>
        <family val="2"/>
      </rPr>
      <t>, contient les données et l'adresse 16 bit.</t>
    </r>
  </si>
  <si>
    <r>
      <t xml:space="preserve">CC est l'octet de checksum. C'est le complément à deux de la somme des valeurs binaires des </t>
    </r>
    <r>
      <rPr>
        <u/>
        <sz val="10"/>
        <rFont val="Arial"/>
        <family val="2"/>
      </rPr>
      <t>octets</t>
    </r>
    <r>
      <rPr>
        <sz val="10"/>
        <rFont val="Arial"/>
        <family val="2"/>
      </rPr>
      <t xml:space="preserve"> de tous les autres champs. (Les calculs sont faits sur 8 bits, en ignorant les retenues.)</t>
    </r>
  </si>
  <si>
    <t>Pour vérifier la validité des données, il suffit de faire la somme de tous les octets représentés, à partir des deux-points jusqu'à la fin de ligne (checksum inclus: BB+AA+AA+TT+HH+...+CC): le résultat attendu est 0 (modulo 256).</t>
  </si>
  <si>
    <t>[XLS] Modif commentaire dwell, Renommage en ACCDI_v79r20c0 (au lieu curve_adjust_16f628_xxxx)</t>
  </si>
  <si>
    <t>[XLS] Ajout onglet EPROM16 pour configurer 16F628 directement avec pickit3 sans besoin de icprog</t>
  </si>
  <si>
    <t>Strokes</t>
  </si>
  <si>
    <t>[XLS] Modif choix 2,4 stk wasted spark</t>
  </si>
  <si>
    <t>4 no wasted spark</t>
  </si>
  <si>
    <t>[XLS] Correction. Le temps en us pour 1° changeait selon 2 ou 4tps ! (faux en 4)</t>
  </si>
  <si>
    <t>v7.9r20c1</t>
  </si>
  <si>
    <t>LED diagnostic</t>
  </si>
  <si>
    <t>yes</t>
  </si>
  <si>
    <t xml:space="preserve">Pour afficher les liens d'une cellule: selectionner la &gt; Formule &gt; Reperer les antécédents ou dependants </t>
  </si>
  <si>
    <t>Version 16F628A v7.9r20c2</t>
  </si>
  <si>
    <t>14/03/2022</t>
  </si>
  <si>
    <t>v7.9r20c2</t>
  </si>
  <si>
    <t>[XLS] Ajout "led diagnostic reset" @ 119</t>
  </si>
  <si>
    <t>[SOFT] Si LED@119 = 0 alors pas de clignotement led pour diagnostiquer dernier reset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</si>
</sst>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0.0"/>
    <numFmt numFmtId="166" formatCode="[$-409]General"/>
    <numFmt numFmtId="167" formatCode="[$$-409]#,##0.00;[Red]&quot;-&quot;[$$-409]#,##0.00"/>
  </numFmts>
  <fonts count="72">
    <font>
      <sz val="10"/>
      <name val="Arial"/>
    </font>
    <font>
      <b/>
      <sz val="10"/>
      <color indexed="9"/>
      <name val="Arial"/>
      <family val="2"/>
    </font>
    <font>
      <b/>
      <sz val="10"/>
      <name val="Arial"/>
      <family val="2"/>
    </font>
    <font>
      <sz val="8"/>
      <color indexed="81"/>
      <name val="Tahoma"/>
      <family val="2"/>
    </font>
    <font>
      <sz val="10"/>
      <name val="Arial"/>
      <family val="2"/>
    </font>
    <font>
      <b/>
      <sz val="8"/>
      <color indexed="81"/>
      <name val="Tahoma"/>
      <family val="2"/>
    </font>
    <font>
      <b/>
      <sz val="8"/>
      <color indexed="10"/>
      <name val="Tahoma"/>
      <family val="2"/>
    </font>
    <font>
      <sz val="2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sz val="10"/>
      <color indexed="55"/>
      <name val="Arial"/>
      <family val="2"/>
    </font>
    <font>
      <sz val="10"/>
      <color indexed="22"/>
      <name val="Arial"/>
      <family val="2"/>
    </font>
    <font>
      <b/>
      <sz val="14"/>
      <color indexed="10"/>
      <name val="Times New Roman"/>
      <family val="1"/>
    </font>
    <font>
      <b/>
      <sz val="14"/>
      <color indexed="10"/>
      <name val="Wingdings"/>
      <charset val="2"/>
    </font>
    <font>
      <b/>
      <sz val="10"/>
      <color indexed="22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i/>
      <sz val="8"/>
      <color indexed="10"/>
      <name val="Arial Narrow"/>
      <family val="2"/>
    </font>
    <font>
      <sz val="8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0"/>
      <color theme="0" tint="-0.499984740745262"/>
      <name val="Arial"/>
      <family val="2"/>
    </font>
    <font>
      <sz val="10"/>
      <name val="Courier New"/>
      <family val="3"/>
    </font>
    <font>
      <b/>
      <i/>
      <sz val="10"/>
      <name val="Arial"/>
      <family val="2"/>
    </font>
    <font>
      <sz val="9"/>
      <color indexed="81"/>
      <name val="Tahoma"/>
      <family val="2"/>
    </font>
    <font>
      <sz val="10"/>
      <color theme="3"/>
      <name val="Courier New"/>
      <family val="3"/>
    </font>
    <font>
      <sz val="10"/>
      <color rgb="FFC00000"/>
      <name val="Arial"/>
      <family val="2"/>
    </font>
    <font>
      <sz val="10"/>
      <color rgb="FFFF0000"/>
      <name val="Arial"/>
      <family val="2"/>
    </font>
    <font>
      <b/>
      <u/>
      <sz val="10"/>
      <color rgb="FFFF0000"/>
      <name val="Arial"/>
      <family val="2"/>
    </font>
    <font>
      <sz val="10"/>
      <color theme="9" tint="-0.499984740745262"/>
      <name val="Arial"/>
      <family val="2"/>
    </font>
    <font>
      <sz val="8"/>
      <color theme="3" tint="-0.249977111117893"/>
      <name val="Courier New"/>
      <family val="3"/>
    </font>
    <font>
      <b/>
      <sz val="12"/>
      <color indexed="10"/>
      <name val="Times New Roman"/>
      <family val="1"/>
    </font>
    <font>
      <b/>
      <sz val="12"/>
      <color indexed="10"/>
      <name val="Wingdings"/>
      <charset val="2"/>
    </font>
    <font>
      <sz val="10"/>
      <color theme="3" tint="-0.249977111117893"/>
      <name val="Arial"/>
      <family val="2"/>
    </font>
    <font>
      <sz val="10"/>
      <color rgb="FF0070C0"/>
      <name val="Arial"/>
      <family val="2"/>
    </font>
    <font>
      <u/>
      <sz val="10"/>
      <color theme="10"/>
      <name val="Arial"/>
      <family val="2"/>
    </font>
    <font>
      <i/>
      <sz val="8"/>
      <name val="Arial"/>
      <family val="2"/>
    </font>
    <font>
      <i/>
      <sz val="10"/>
      <color theme="0" tint="-0.499984740745262"/>
      <name val="Arial"/>
      <family val="2"/>
    </font>
    <font>
      <sz val="10"/>
      <color theme="0" tint="-0.249977111117893"/>
      <name val="Arial"/>
      <family val="2"/>
    </font>
    <font>
      <sz val="10"/>
      <color theme="0" tint="-0.34998626667073579"/>
      <name val="Arial"/>
      <family val="2"/>
    </font>
    <font>
      <i/>
      <sz val="10"/>
      <name val="Arial"/>
      <family val="2"/>
    </font>
    <font>
      <sz val="10"/>
      <name val="Arial Unicode MS"/>
      <family val="2"/>
    </font>
    <font>
      <sz val="8"/>
      <color theme="0" tint="-0.34998626667073579"/>
      <name val="Arial"/>
      <family val="2"/>
    </font>
    <font>
      <i/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theme="0" tint="-0.499984740745262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sz val="10"/>
      <color rgb="FF00B05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1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b/>
      <sz val="9"/>
      <name val="Arial"/>
      <family val="2"/>
    </font>
    <font>
      <b/>
      <u/>
      <sz val="10"/>
      <name val="Arial"/>
      <family val="2"/>
    </font>
    <font>
      <sz val="10"/>
      <color theme="0" tint="-0.14999847407452621"/>
      <name val="Arial"/>
      <family val="2"/>
    </font>
    <font>
      <sz val="8"/>
      <color indexed="10"/>
      <name val="Arial"/>
      <family val="2"/>
    </font>
    <font>
      <sz val="8"/>
      <color rgb="FFFF0000"/>
      <name val="Arial"/>
      <family val="2"/>
    </font>
    <font>
      <b/>
      <sz val="16"/>
      <name val="Arial"/>
      <family val="2"/>
    </font>
    <font>
      <sz val="10"/>
      <color indexed="10"/>
      <name val="Arial"/>
      <family val="2"/>
    </font>
    <font>
      <i/>
      <sz val="8"/>
      <color indexed="22"/>
      <name val="Arial"/>
      <family val="2"/>
    </font>
    <font>
      <sz val="8"/>
      <color theme="0" tint="-0.249977111117893"/>
      <name val="Arial"/>
      <family val="2"/>
    </font>
    <font>
      <b/>
      <sz val="18"/>
      <color indexed="10"/>
      <name val="Arial"/>
      <family val="2"/>
    </font>
    <font>
      <sz val="10"/>
      <color theme="9" tint="-0.249977111117893"/>
      <name val="Courier New"/>
      <family val="3"/>
    </font>
    <font>
      <sz val="9"/>
      <name val="Arial"/>
      <family val="2"/>
    </font>
    <font>
      <b/>
      <sz val="10"/>
      <color theme="9" tint="-0.249977111117893"/>
      <name val="Courier New"/>
      <family val="3"/>
    </font>
    <font>
      <sz val="12"/>
      <name val="Courier New"/>
      <family val="3"/>
    </font>
    <font>
      <b/>
      <sz val="10"/>
      <color theme="3" tint="0.39997558519241921"/>
      <name val="Courier New"/>
      <family val="3"/>
    </font>
    <font>
      <u/>
      <sz val="10"/>
      <name val="Arial"/>
      <family val="2"/>
    </font>
    <font>
      <i/>
      <sz val="10"/>
      <color theme="0" tint="-0.249977111117893"/>
      <name val="Arial"/>
      <family val="2"/>
    </font>
    <font>
      <sz val="9"/>
      <color indexed="81"/>
      <name val="Tahoma"/>
      <charset val="1"/>
    </font>
  </fonts>
  <fills count="20">
    <fill>
      <patternFill patternType="none"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D99694"/>
        <bgColor rgb="FFD9969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ashDot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auto="1"/>
      </bottom>
      <diagonal/>
    </border>
  </borders>
  <cellStyleXfs count="10">
    <xf numFmtId="0" fontId="0" fillId="0" borderId="0"/>
    <xf numFmtId="0" fontId="35" fillId="0" borderId="0" applyNumberFormat="0" applyFill="0" applyBorder="0" applyAlignment="0" applyProtection="0"/>
    <xf numFmtId="0" fontId="49" fillId="0" borderId="0"/>
    <xf numFmtId="0" fontId="50" fillId="17" borderId="0"/>
    <xf numFmtId="0" fontId="49" fillId="0" borderId="0"/>
    <xf numFmtId="166" fontId="51" fillId="0" borderId="0"/>
    <xf numFmtId="0" fontId="52" fillId="0" borderId="0">
      <alignment horizontal="center"/>
    </xf>
    <xf numFmtId="0" fontId="52" fillId="0" borderId="0">
      <alignment horizontal="center" textRotation="90"/>
    </xf>
    <xf numFmtId="0" fontId="53" fillId="0" borderId="0"/>
    <xf numFmtId="167" fontId="53" fillId="0" borderId="0"/>
  </cellStyleXfs>
  <cellXfs count="264">
    <xf numFmtId="0" fontId="0" fillId="0" borderId="0" xfId="0"/>
    <xf numFmtId="1" fontId="0" fillId="0" borderId="0" xfId="0" applyNumberFormat="1"/>
    <xf numFmtId="0" fontId="0" fillId="0" borderId="2" xfId="0" applyFill="1" applyBorder="1" applyAlignment="1" applyProtection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" fontId="0" fillId="5" borderId="1" xfId="0" applyNumberFormat="1" applyFill="1" applyBorder="1" applyAlignment="1">
      <alignment horizontal="center"/>
    </xf>
    <xf numFmtId="165" fontId="0" fillId="5" borderId="8" xfId="0" applyNumberFormat="1" applyFill="1" applyBorder="1" applyAlignment="1">
      <alignment horizontal="center"/>
    </xf>
    <xf numFmtId="165" fontId="0" fillId="5" borderId="9" xfId="0" applyNumberFormat="1" applyFill="1" applyBorder="1" applyAlignment="1">
      <alignment horizontal="center"/>
    </xf>
    <xf numFmtId="0" fontId="0" fillId="0" borderId="0" xfId="0" applyAlignment="1">
      <alignment horizontal="right"/>
    </xf>
    <xf numFmtId="2" fontId="0" fillId="5" borderId="8" xfId="0" applyNumberForma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2" fontId="4" fillId="6" borderId="14" xfId="0" applyNumberFormat="1" applyFont="1" applyFill="1" applyBorder="1" applyAlignment="1">
      <alignment horizontal="center"/>
    </xf>
    <xf numFmtId="165" fontId="2" fillId="6" borderId="1" xfId="0" applyNumberFormat="1" applyFont="1" applyFill="1" applyBorder="1" applyAlignment="1">
      <alignment horizontal="center"/>
    </xf>
    <xf numFmtId="0" fontId="11" fillId="0" borderId="0" xfId="0" applyFont="1"/>
    <xf numFmtId="1" fontId="11" fillId="0" borderId="0" xfId="0" applyNumberFormat="1" applyFont="1"/>
    <xf numFmtId="2" fontId="11" fillId="0" borderId="0" xfId="0" applyNumberFormat="1" applyFont="1"/>
    <xf numFmtId="165" fontId="11" fillId="0" borderId="0" xfId="0" applyNumberFormat="1" applyFont="1"/>
    <xf numFmtId="165" fontId="2" fillId="6" borderId="15" xfId="0" applyNumberFormat="1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15" fillId="0" borderId="7" xfId="0" applyFont="1" applyBorder="1" applyAlignment="1">
      <alignment horizontal="center"/>
    </xf>
    <xf numFmtId="49" fontId="1" fillId="2" borderId="5" xfId="0" applyNumberFormat="1" applyFont="1" applyFill="1" applyBorder="1" applyAlignment="1">
      <alignment horizontal="center" wrapText="1"/>
    </xf>
    <xf numFmtId="0" fontId="0" fillId="0" borderId="0" xfId="0" applyBorder="1"/>
    <xf numFmtId="0" fontId="7" fillId="0" borderId="0" xfId="0" applyFont="1" applyBorder="1"/>
    <xf numFmtId="2" fontId="0" fillId="0" borderId="0" xfId="0" applyNumberFormat="1" applyBorder="1"/>
    <xf numFmtId="0" fontId="12" fillId="0" borderId="0" xfId="0" applyFont="1" applyBorder="1"/>
    <xf numFmtId="1" fontId="0" fillId="0" borderId="0" xfId="0" applyNumberFormat="1" applyBorder="1"/>
    <xf numFmtId="0" fontId="18" fillId="0" borderId="0" xfId="0" applyFont="1" applyBorder="1"/>
    <xf numFmtId="0" fontId="2" fillId="0" borderId="0" xfId="0" applyFont="1" applyFill="1" applyBorder="1" applyAlignment="1" applyProtection="1">
      <alignment horizontal="center"/>
    </xf>
    <xf numFmtId="0" fontId="17" fillId="0" borderId="0" xfId="0" applyFont="1" applyBorder="1"/>
    <xf numFmtId="0" fontId="16" fillId="0" borderId="0" xfId="0" applyFont="1" applyBorder="1" applyAlignment="1">
      <alignment wrapText="1"/>
    </xf>
    <xf numFmtId="0" fontId="0" fillId="0" borderId="0" xfId="0" applyFill="1" applyBorder="1"/>
    <xf numFmtId="1" fontId="0" fillId="0" borderId="0" xfId="0" applyNumberFormat="1" applyFill="1" applyBorder="1"/>
    <xf numFmtId="165" fontId="0" fillId="0" borderId="0" xfId="0" applyNumberFormat="1" applyBorder="1"/>
    <xf numFmtId="164" fontId="0" fillId="0" borderId="0" xfId="0" applyNumberFormat="1" applyBorder="1"/>
    <xf numFmtId="0" fontId="20" fillId="0" borderId="0" xfId="0" applyFont="1"/>
    <xf numFmtId="0" fontId="22" fillId="0" borderId="0" xfId="0" applyNumberFormat="1" applyFont="1"/>
    <xf numFmtId="1" fontId="0" fillId="0" borderId="11" xfId="0" applyNumberFormat="1" applyBorder="1" applyAlignment="1" applyProtection="1">
      <alignment horizontal="center"/>
    </xf>
    <xf numFmtId="165" fontId="0" fillId="7" borderId="0" xfId="0" applyNumberFormat="1" applyFill="1" applyBorder="1" applyProtection="1">
      <protection locked="0"/>
    </xf>
    <xf numFmtId="0" fontId="4" fillId="0" borderId="0" xfId="0" applyFont="1"/>
    <xf numFmtId="0" fontId="2" fillId="0" borderId="0" xfId="0" applyFont="1"/>
    <xf numFmtId="0" fontId="23" fillId="0" borderId="0" xfId="0" applyFont="1" applyAlignment="1">
      <alignment horizontal="left"/>
    </xf>
    <xf numFmtId="0" fontId="26" fillId="0" borderId="0" xfId="0" applyFont="1"/>
    <xf numFmtId="0" fontId="4" fillId="0" borderId="0" xfId="0" quotePrefix="1" applyFont="1"/>
    <xf numFmtId="0" fontId="2" fillId="0" borderId="0" xfId="0" applyFont="1" applyAlignment="1">
      <alignment wrapText="1"/>
    </xf>
    <xf numFmtId="1" fontId="0" fillId="0" borderId="24" xfId="0" applyNumberFormat="1" applyBorder="1" applyAlignment="1" applyProtection="1">
      <alignment horizontal="center"/>
    </xf>
    <xf numFmtId="1" fontId="0" fillId="0" borderId="17" xfId="0" applyNumberFormat="1" applyBorder="1" applyAlignment="1" applyProtection="1">
      <alignment horizontal="center"/>
    </xf>
    <xf numFmtId="0" fontId="4" fillId="0" borderId="0" xfId="0" applyFont="1" applyBorder="1" applyAlignment="1">
      <alignment horizontal="left"/>
    </xf>
    <xf numFmtId="0" fontId="19" fillId="0" borderId="0" xfId="0" applyFont="1" applyBorder="1"/>
    <xf numFmtId="0" fontId="25" fillId="9" borderId="3" xfId="0" applyNumberFormat="1" applyFont="1" applyFill="1" applyBorder="1" applyProtection="1"/>
    <xf numFmtId="0" fontId="25" fillId="9" borderId="22" xfId="0" applyNumberFormat="1" applyFont="1" applyFill="1" applyBorder="1" applyProtection="1"/>
    <xf numFmtId="0" fontId="31" fillId="0" borderId="0" xfId="0" applyFont="1" applyBorder="1" applyAlignment="1">
      <alignment horizontal="right"/>
    </xf>
    <xf numFmtId="0" fontId="30" fillId="9" borderId="18" xfId="0" applyFont="1" applyFill="1" applyBorder="1" applyProtection="1">
      <protection locked="0"/>
    </xf>
    <xf numFmtId="0" fontId="30" fillId="9" borderId="3" xfId="0" applyFont="1" applyFill="1" applyBorder="1" applyProtection="1">
      <protection locked="0"/>
    </xf>
    <xf numFmtId="0" fontId="30" fillId="9" borderId="22" xfId="0" applyFont="1" applyFill="1" applyBorder="1" applyProtection="1">
      <protection locked="0"/>
    </xf>
    <xf numFmtId="0" fontId="0" fillId="11" borderId="23" xfId="0" applyFill="1" applyBorder="1" applyAlignment="1" applyProtection="1">
      <alignment horizontal="center"/>
    </xf>
    <xf numFmtId="0" fontId="25" fillId="9" borderId="18" xfId="0" applyNumberFormat="1" applyFont="1" applyFill="1" applyBorder="1" applyProtection="1"/>
    <xf numFmtId="0" fontId="2" fillId="0" borderId="0" xfId="0" applyFont="1" applyAlignment="1" applyProtection="1">
      <alignment wrapText="1"/>
    </xf>
    <xf numFmtId="49" fontId="2" fillId="0" borderId="0" xfId="0" applyNumberFormat="1" applyFont="1" applyAlignment="1" applyProtection="1">
      <alignment horizontal="center" wrapText="1"/>
    </xf>
    <xf numFmtId="0" fontId="2" fillId="0" borderId="0" xfId="0" applyFont="1" applyAlignment="1" applyProtection="1">
      <alignment horizontal="center" wrapText="1"/>
    </xf>
    <xf numFmtId="49" fontId="28" fillId="0" borderId="0" xfId="0" applyNumberFormat="1" applyFont="1" applyAlignment="1" applyProtection="1">
      <alignment horizontal="center" vertical="center"/>
    </xf>
    <xf numFmtId="0" fontId="27" fillId="0" borderId="0" xfId="0" applyFont="1" applyProtection="1"/>
    <xf numFmtId="0" fontId="0" fillId="0" borderId="0" xfId="0" applyAlignment="1" applyProtection="1">
      <alignment horizontal="center"/>
    </xf>
    <xf numFmtId="0" fontId="33" fillId="10" borderId="0" xfId="0" applyFont="1" applyFill="1" applyAlignment="1" applyProtection="1">
      <alignment horizontal="right"/>
    </xf>
    <xf numFmtId="0" fontId="21" fillId="0" borderId="0" xfId="0" applyFont="1" applyAlignment="1" applyProtection="1">
      <alignment horizontal="right"/>
    </xf>
    <xf numFmtId="0" fontId="4" fillId="3" borderId="0" xfId="0" applyFont="1" applyFill="1" applyBorder="1" applyAlignment="1" applyProtection="1">
      <alignment horizontal="center"/>
    </xf>
    <xf numFmtId="0" fontId="29" fillId="11" borderId="0" xfId="0" applyFont="1" applyFill="1" applyAlignment="1" applyProtection="1">
      <alignment horizontal="right"/>
    </xf>
    <xf numFmtId="0" fontId="4" fillId="12" borderId="0" xfId="0" applyFont="1" applyFill="1" applyBorder="1" applyAlignment="1" applyProtection="1">
      <alignment horizontal="center"/>
    </xf>
    <xf numFmtId="2" fontId="0" fillId="0" borderId="0" xfId="0" applyNumberFormat="1" applyFill="1" applyBorder="1" applyAlignment="1" applyProtection="1">
      <alignment horizontal="center"/>
    </xf>
    <xf numFmtId="2" fontId="0" fillId="0" borderId="13" xfId="0" applyNumberFormat="1" applyFill="1" applyBorder="1" applyAlignment="1" applyProtection="1">
      <alignment horizontal="center"/>
    </xf>
    <xf numFmtId="2" fontId="0" fillId="0" borderId="20" xfId="0" applyNumberFormat="1" applyFill="1" applyBorder="1" applyAlignment="1" applyProtection="1">
      <alignment horizontal="center"/>
    </xf>
    <xf numFmtId="0" fontId="35" fillId="0" borderId="0" xfId="1"/>
    <xf numFmtId="0" fontId="36" fillId="0" borderId="7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14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1" fontId="0" fillId="0" borderId="0" xfId="0" applyNumberFormat="1" applyFill="1" applyBorder="1" applyAlignment="1">
      <alignment horizontal="center"/>
    </xf>
    <xf numFmtId="164" fontId="0" fillId="0" borderId="20" xfId="0" applyNumberFormat="1" applyBorder="1" applyProtection="1"/>
    <xf numFmtId="164" fontId="0" fillId="0" borderId="0" xfId="0" applyNumberFormat="1" applyBorder="1" applyProtection="1"/>
    <xf numFmtId="164" fontId="0" fillId="0" borderId="13" xfId="0" applyNumberFormat="1" applyBorder="1" applyProtection="1"/>
    <xf numFmtId="0" fontId="37" fillId="0" borderId="0" xfId="0" applyFont="1"/>
    <xf numFmtId="0" fontId="19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left"/>
    </xf>
    <xf numFmtId="0" fontId="33" fillId="10" borderId="19" xfId="0" applyFont="1" applyFill="1" applyBorder="1" applyAlignment="1">
      <alignment horizontal="center"/>
    </xf>
    <xf numFmtId="0" fontId="33" fillId="10" borderId="4" xfId="0" applyFont="1" applyFill="1" applyBorder="1" applyAlignment="1">
      <alignment horizontal="center"/>
    </xf>
    <xf numFmtId="0" fontId="33" fillId="10" borderId="16" xfId="0" applyFont="1" applyFill="1" applyBorder="1" applyAlignment="1">
      <alignment horizontal="center"/>
    </xf>
    <xf numFmtId="165" fontId="0" fillId="4" borderId="0" xfId="0" applyNumberFormat="1" applyFill="1" applyBorder="1" applyProtection="1">
      <protection locked="0"/>
    </xf>
    <xf numFmtId="0" fontId="38" fillId="0" borderId="0" xfId="0" applyFont="1" applyBorder="1" applyAlignment="1">
      <alignment horizontal="center"/>
    </xf>
    <xf numFmtId="2" fontId="0" fillId="0" borderId="0" xfId="0" applyNumberFormat="1"/>
    <xf numFmtId="0" fontId="2" fillId="0" borderId="0" xfId="0" applyFont="1" applyAlignment="1">
      <alignment horizontal="center"/>
    </xf>
    <xf numFmtId="165" fontId="0" fillId="4" borderId="13" xfId="0" applyNumberFormat="1" applyFill="1" applyBorder="1" applyProtection="1">
      <protection locked="0"/>
    </xf>
    <xf numFmtId="0" fontId="0" fillId="0" borderId="0" xfId="0" quotePrefix="1"/>
    <xf numFmtId="0" fontId="38" fillId="0" borderId="0" xfId="0" applyFont="1"/>
    <xf numFmtId="0" fontId="38" fillId="0" borderId="0" xfId="0" applyFont="1" applyAlignment="1">
      <alignment horizontal="right"/>
    </xf>
    <xf numFmtId="0" fontId="0" fillId="8" borderId="0" xfId="0" applyNumberFormat="1" applyFill="1" applyProtection="1">
      <protection locked="0"/>
    </xf>
    <xf numFmtId="165" fontId="2" fillId="3" borderId="9" xfId="0" applyNumberFormat="1" applyFont="1" applyFill="1" applyBorder="1" applyAlignment="1" applyProtection="1">
      <alignment horizontal="center"/>
      <protection locked="0"/>
    </xf>
    <xf numFmtId="1" fontId="2" fillId="3" borderId="1" xfId="0" applyNumberFormat="1" applyFont="1" applyFill="1" applyBorder="1" applyAlignment="1" applyProtection="1">
      <alignment horizontal="center"/>
      <protection locked="0"/>
    </xf>
    <xf numFmtId="0" fontId="2" fillId="8" borderId="0" xfId="0" applyFont="1" applyFill="1" applyBorder="1" applyAlignment="1" applyProtection="1">
      <alignment horizontal="center"/>
      <protection locked="0"/>
    </xf>
    <xf numFmtId="0" fontId="19" fillId="0" borderId="0" xfId="0" quotePrefix="1" applyFont="1"/>
    <xf numFmtId="0" fontId="39" fillId="0" borderId="0" xfId="0" applyFont="1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1" fontId="2" fillId="3" borderId="0" xfId="0" applyNumberFormat="1" applyFont="1" applyFill="1" applyBorder="1" applyAlignment="1" applyProtection="1">
      <alignment horizontal="center"/>
    </xf>
    <xf numFmtId="1" fontId="39" fillId="0" borderId="0" xfId="0" applyNumberFormat="1" applyFont="1"/>
    <xf numFmtId="0" fontId="39" fillId="0" borderId="0" xfId="0" applyFont="1" applyAlignment="1">
      <alignment horizontal="right"/>
    </xf>
    <xf numFmtId="0" fontId="27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14" fillId="0" borderId="0" xfId="0" applyFont="1" applyAlignment="1">
      <alignment horizontal="right" vertical="center"/>
    </xf>
    <xf numFmtId="0" fontId="40" fillId="0" borderId="0" xfId="0" applyFont="1"/>
    <xf numFmtId="165" fontId="0" fillId="4" borderId="20" xfId="0" applyNumberFormat="1" applyFill="1" applyBorder="1" applyProtection="1">
      <protection locked="0"/>
    </xf>
    <xf numFmtId="0" fontId="33" fillId="10" borderId="0" xfId="0" applyNumberFormat="1" applyFont="1" applyFill="1" applyAlignment="1" applyProtection="1">
      <alignment horizontal="right"/>
    </xf>
    <xf numFmtId="0" fontId="42" fillId="0" borderId="0" xfId="0" applyFont="1" applyAlignment="1">
      <alignment horizontal="center" wrapText="1"/>
    </xf>
    <xf numFmtId="0" fontId="4" fillId="9" borderId="0" xfId="0" applyFont="1" applyFill="1" applyAlignment="1" applyProtection="1">
      <alignment horizontal="right"/>
    </xf>
    <xf numFmtId="0" fontId="23" fillId="8" borderId="0" xfId="0" applyFont="1" applyFill="1" applyBorder="1" applyAlignment="1" applyProtection="1">
      <alignment horizontal="center"/>
      <protection locked="0"/>
    </xf>
    <xf numFmtId="0" fontId="2" fillId="8" borderId="21" xfId="0" applyFont="1" applyFill="1" applyBorder="1" applyAlignment="1" applyProtection="1">
      <alignment horizontal="center"/>
      <protection locked="0"/>
    </xf>
    <xf numFmtId="0" fontId="4" fillId="14" borderId="0" xfId="0" applyFont="1" applyFill="1" applyAlignment="1">
      <alignment horizontal="right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38" fillId="0" borderId="0" xfId="0" applyFont="1" applyAlignment="1">
      <alignment horizontal="right"/>
    </xf>
    <xf numFmtId="0" fontId="0" fillId="0" borderId="6" xfId="0" applyBorder="1"/>
    <xf numFmtId="0" fontId="0" fillId="0" borderId="15" xfId="0" applyBorder="1"/>
    <xf numFmtId="0" fontId="0" fillId="0" borderId="1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8" borderId="1" xfId="0" applyNumberFormat="1" applyFill="1" applyBorder="1" applyAlignment="1" applyProtection="1">
      <alignment horizontal="center"/>
      <protection locked="0"/>
    </xf>
    <xf numFmtId="0" fontId="38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3" fillId="0" borderId="0" xfId="0" applyFont="1"/>
    <xf numFmtId="0" fontId="0" fillId="8" borderId="0" xfId="0" applyFill="1" applyAlignment="1" applyProtection="1">
      <alignment horizontal="center"/>
      <protection locked="0"/>
    </xf>
    <xf numFmtId="0" fontId="0" fillId="8" borderId="0" xfId="0" applyFill="1" applyProtection="1">
      <protection locked="0"/>
    </xf>
    <xf numFmtId="0" fontId="4" fillId="0" borderId="0" xfId="0" applyFont="1" applyBorder="1" applyAlignment="1">
      <alignment horizontal="center"/>
    </xf>
    <xf numFmtId="165" fontId="0" fillId="0" borderId="0" xfId="0" applyNumberFormat="1"/>
    <xf numFmtId="0" fontId="0" fillId="0" borderId="0" xfId="0" applyAlignment="1">
      <alignment horizontal="center" wrapText="1"/>
    </xf>
    <xf numFmtId="2" fontId="0" fillId="0" borderId="0" xfId="0" applyNumberFormat="1" applyAlignment="1">
      <alignment horizontal="center"/>
    </xf>
    <xf numFmtId="0" fontId="21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21" fillId="0" borderId="0" xfId="0" applyFont="1"/>
    <xf numFmtId="165" fontId="21" fillId="0" borderId="0" xfId="0" applyNumberFormat="1" applyFont="1"/>
    <xf numFmtId="1" fontId="21" fillId="0" borderId="0" xfId="0" applyNumberFormat="1" applyFont="1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0" fillId="8" borderId="0" xfId="0" applyFill="1" applyAlignment="1">
      <alignment horizontal="center"/>
    </xf>
    <xf numFmtId="0" fontId="18" fillId="0" borderId="0" xfId="0" applyFont="1" applyAlignment="1">
      <alignment horizontal="center" wrapText="1"/>
    </xf>
    <xf numFmtId="165" fontId="2" fillId="0" borderId="0" xfId="0" applyNumberFormat="1" applyFont="1"/>
    <xf numFmtId="165" fontId="45" fillId="0" borderId="0" xfId="0" applyNumberFormat="1" applyFont="1"/>
    <xf numFmtId="0" fontId="0" fillId="0" borderId="0" xfId="0" applyAlignment="1">
      <alignment horizontal="left"/>
    </xf>
    <xf numFmtId="0" fontId="21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47" fillId="0" borderId="0" xfId="0" applyFont="1" applyAlignment="1">
      <alignment horizontal="center" wrapText="1"/>
    </xf>
    <xf numFmtId="0" fontId="4" fillId="15" borderId="0" xfId="0" applyFont="1" applyFill="1" applyAlignment="1" applyProtection="1">
      <alignment horizontal="right"/>
    </xf>
    <xf numFmtId="0" fontId="4" fillId="16" borderId="0" xfId="0" applyFont="1" applyFill="1" applyAlignment="1" applyProtection="1">
      <alignment horizontal="right"/>
    </xf>
    <xf numFmtId="49" fontId="0" fillId="0" borderId="0" xfId="0" applyNumberFormat="1"/>
    <xf numFmtId="0" fontId="2" fillId="0" borderId="0" xfId="0" quotePrefix="1" applyFont="1"/>
    <xf numFmtId="0" fontId="20" fillId="0" borderId="0" xfId="0" applyFont="1" applyAlignment="1">
      <alignment horizontal="center"/>
    </xf>
    <xf numFmtId="0" fontId="48" fillId="0" borderId="0" xfId="0" applyFont="1"/>
    <xf numFmtId="0" fontId="48" fillId="0" borderId="0" xfId="0" quotePrefix="1" applyFont="1"/>
    <xf numFmtId="165" fontId="0" fillId="0" borderId="0" xfId="0" applyNumberFormat="1" applyAlignment="1">
      <alignment horizontal="center"/>
    </xf>
    <xf numFmtId="0" fontId="0" fillId="8" borderId="0" xfId="0" applyFill="1"/>
    <xf numFmtId="14" fontId="10" fillId="0" borderId="0" xfId="0" quotePrefix="1" applyNumberFormat="1" applyFont="1" applyBorder="1"/>
    <xf numFmtId="2" fontId="11" fillId="0" borderId="0" xfId="0" applyNumberFormat="1" applyFont="1"/>
    <xf numFmtId="165" fontId="11" fillId="0" borderId="0" xfId="0" applyNumberFormat="1" applyFont="1"/>
    <xf numFmtId="0" fontId="0" fillId="0" borderId="0" xfId="0"/>
    <xf numFmtId="0" fontId="4" fillId="0" borderId="0" xfId="0" applyFont="1"/>
    <xf numFmtId="0" fontId="0" fillId="0" borderId="25" xfId="0" applyBorder="1" applyAlignment="1">
      <alignment horizontal="center"/>
    </xf>
    <xf numFmtId="0" fontId="0" fillId="0" borderId="25" xfId="0" quotePrefix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8" xfId="0" quotePrefix="1" applyBorder="1" applyAlignment="1">
      <alignment horizontal="center"/>
    </xf>
    <xf numFmtId="0" fontId="0" fillId="0" borderId="29" xfId="0" quotePrefix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2" fillId="8" borderId="28" xfId="0" applyFont="1" applyFill="1" applyBorder="1" applyAlignment="1">
      <alignment horizontal="center"/>
    </xf>
    <xf numFmtId="0" fontId="2" fillId="8" borderId="25" xfId="0" applyFont="1" applyFill="1" applyBorder="1" applyAlignment="1">
      <alignment horizontal="center"/>
    </xf>
    <xf numFmtId="0" fontId="2" fillId="8" borderId="29" xfId="0" applyFont="1" applyFill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8" borderId="31" xfId="0" applyFont="1" applyFill="1" applyBorder="1" applyAlignment="1">
      <alignment horizontal="center"/>
    </xf>
    <xf numFmtId="0" fontId="34" fillId="0" borderId="0" xfId="0" applyFont="1"/>
    <xf numFmtId="0" fontId="55" fillId="0" borderId="0" xfId="0" applyFont="1"/>
    <xf numFmtId="49" fontId="1" fillId="2" borderId="1" xfId="0" applyNumberFormat="1" applyFont="1" applyFill="1" applyBorder="1" applyAlignment="1">
      <alignment horizontal="center" wrapText="1"/>
    </xf>
    <xf numFmtId="0" fontId="4" fillId="18" borderId="0" xfId="0" applyFont="1" applyFill="1" applyAlignment="1" applyProtection="1">
      <alignment horizontal="right"/>
    </xf>
    <xf numFmtId="0" fontId="4" fillId="8" borderId="0" xfId="0" applyFont="1" applyFill="1"/>
    <xf numFmtId="0" fontId="33" fillId="10" borderId="39" xfId="0" applyFont="1" applyFill="1" applyBorder="1" applyAlignment="1" applyProtection="1">
      <alignment horizontal="right"/>
    </xf>
    <xf numFmtId="0" fontId="21" fillId="0" borderId="39" xfId="0" applyFont="1" applyBorder="1" applyAlignment="1" applyProtection="1">
      <alignment horizontal="right"/>
    </xf>
    <xf numFmtId="1" fontId="4" fillId="13" borderId="39" xfId="0" applyNumberFormat="1" applyFont="1" applyFill="1" applyBorder="1" applyAlignment="1" applyProtection="1">
      <alignment horizontal="right"/>
    </xf>
    <xf numFmtId="0" fontId="25" fillId="9" borderId="18" xfId="0" applyNumberFormat="1" applyFont="1" applyFill="1" applyBorder="1" applyAlignment="1" applyProtection="1">
      <alignment horizontal="left"/>
    </xf>
    <xf numFmtId="0" fontId="38" fillId="0" borderId="0" xfId="0" applyFont="1" applyBorder="1"/>
    <xf numFmtId="1" fontId="56" fillId="0" borderId="0" xfId="0" applyNumberFormat="1" applyFont="1"/>
    <xf numFmtId="0" fontId="9" fillId="0" borderId="40" xfId="0" applyFont="1" applyBorder="1"/>
    <xf numFmtId="0" fontId="0" fillId="0" borderId="34" xfId="0" applyBorder="1"/>
    <xf numFmtId="0" fontId="9" fillId="0" borderId="34" xfId="0" applyFont="1" applyBorder="1" applyAlignment="1">
      <alignment horizontal="right"/>
    </xf>
    <xf numFmtId="0" fontId="9" fillId="14" borderId="41" xfId="0" applyFont="1" applyFill="1" applyBorder="1"/>
    <xf numFmtId="0" fontId="38" fillId="0" borderId="0" xfId="0" applyFont="1" applyAlignment="1">
      <alignment horizontal="right"/>
    </xf>
    <xf numFmtId="0" fontId="57" fillId="0" borderId="0" xfId="0" applyFont="1" applyBorder="1"/>
    <xf numFmtId="0" fontId="58" fillId="0" borderId="0" xfId="0" applyFont="1" applyBorder="1"/>
    <xf numFmtId="1" fontId="4" fillId="0" borderId="0" xfId="0" applyNumberFormat="1" applyFont="1"/>
    <xf numFmtId="1" fontId="0" fillId="19" borderId="0" xfId="0" applyNumberFormat="1" applyFill="1"/>
    <xf numFmtId="1" fontId="4" fillId="19" borderId="0" xfId="0" applyNumberFormat="1" applyFont="1" applyFill="1" applyAlignment="1" applyProtection="1">
      <alignment horizontal="right"/>
    </xf>
    <xf numFmtId="0" fontId="19" fillId="0" borderId="42" xfId="0" applyFont="1" applyBorder="1" applyAlignment="1">
      <alignment horizontal="center"/>
    </xf>
    <xf numFmtId="2" fontId="0" fillId="0" borderId="42" xfId="0" applyNumberForma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8" borderId="42" xfId="0" applyFill="1" applyBorder="1" applyAlignment="1" applyProtection="1">
      <alignment horizontal="center"/>
      <protection locked="0"/>
    </xf>
    <xf numFmtId="0" fontId="0" fillId="14" borderId="42" xfId="0" applyFill="1" applyBorder="1" applyAlignment="1">
      <alignment horizontal="center"/>
    </xf>
    <xf numFmtId="0" fontId="19" fillId="0" borderId="3" xfId="0" applyFon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20" fillId="0" borderId="43" xfId="0" applyFont="1" applyBorder="1" applyAlignment="1">
      <alignment horizontal="center"/>
    </xf>
    <xf numFmtId="0" fontId="20" fillId="0" borderId="44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54" fillId="0" borderId="43" xfId="0" applyFont="1" applyBorder="1"/>
    <xf numFmtId="0" fontId="54" fillId="0" borderId="43" xfId="0" applyFont="1" applyBorder="1" applyAlignment="1">
      <alignment wrapText="1"/>
    </xf>
    <xf numFmtId="0" fontId="0" fillId="0" borderId="22" xfId="0" applyBorder="1" applyAlignment="1">
      <alignment horizontal="right"/>
    </xf>
    <xf numFmtId="0" fontId="0" fillId="0" borderId="3" xfId="0" applyBorder="1" applyAlignment="1">
      <alignment horizontal="center"/>
    </xf>
    <xf numFmtId="0" fontId="19" fillId="0" borderId="11" xfId="0" applyFon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" fontId="0" fillId="0" borderId="42" xfId="0" applyNumberFormat="1" applyBorder="1" applyAlignment="1">
      <alignment horizontal="center"/>
    </xf>
    <xf numFmtId="0" fontId="59" fillId="0" borderId="40" xfId="0" applyFont="1" applyBorder="1"/>
    <xf numFmtId="165" fontId="38" fillId="0" borderId="0" xfId="0" applyNumberFormat="1" applyFont="1"/>
    <xf numFmtId="1" fontId="38" fillId="0" borderId="0" xfId="0" applyNumberFormat="1" applyFont="1"/>
    <xf numFmtId="0" fontId="60" fillId="0" borderId="0" xfId="0" applyFont="1" applyBorder="1"/>
    <xf numFmtId="0" fontId="60" fillId="0" borderId="0" xfId="0" applyFont="1" applyBorder="1" applyAlignment="1">
      <alignment horizontal="left"/>
    </xf>
    <xf numFmtId="165" fontId="11" fillId="0" borderId="0" xfId="0" applyNumberFormat="1" applyFont="1" applyAlignment="1">
      <alignment horizontal="right"/>
    </xf>
    <xf numFmtId="165" fontId="61" fillId="0" borderId="0" xfId="0" applyNumberFormat="1" applyFont="1" applyAlignment="1">
      <alignment horizontal="right"/>
    </xf>
    <xf numFmtId="0" fontId="62" fillId="0" borderId="0" xfId="0" applyFont="1" applyBorder="1" applyAlignment="1">
      <alignment horizontal="center"/>
    </xf>
    <xf numFmtId="0" fontId="63" fillId="0" borderId="0" xfId="0" applyFont="1" applyBorder="1"/>
    <xf numFmtId="0" fontId="4" fillId="0" borderId="0" xfId="0" quotePrefix="1" applyFont="1" applyAlignment="1">
      <alignment horizontal="center"/>
    </xf>
    <xf numFmtId="1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center"/>
    </xf>
    <xf numFmtId="0" fontId="18" fillId="0" borderId="0" xfId="0" applyFont="1"/>
    <xf numFmtId="0" fontId="19" fillId="0" borderId="0" xfId="0" applyFont="1" applyAlignment="1">
      <alignment horizontal="left" wrapText="1"/>
    </xf>
    <xf numFmtId="0" fontId="64" fillId="9" borderId="18" xfId="0" applyNumberFormat="1" applyFont="1" applyFill="1" applyBorder="1" applyAlignment="1" applyProtection="1">
      <alignment horizontal="left" wrapText="1"/>
    </xf>
    <xf numFmtId="0" fontId="4" fillId="0" borderId="0" xfId="0" applyFont="1" applyAlignment="1" applyProtection="1">
      <alignment horizontal="center"/>
    </xf>
    <xf numFmtId="0" fontId="27" fillId="0" borderId="0" xfId="0" quotePrefix="1" applyFont="1" applyProtection="1"/>
    <xf numFmtId="0" fontId="64" fillId="9" borderId="22" xfId="0" applyNumberFormat="1" applyFont="1" applyFill="1" applyBorder="1" applyProtection="1"/>
    <xf numFmtId="0" fontId="19" fillId="0" borderId="0" xfId="0" applyFont="1"/>
    <xf numFmtId="0" fontId="41" fillId="0" borderId="0" xfId="0" applyFont="1" applyAlignment="1">
      <alignment vertical="center"/>
    </xf>
    <xf numFmtId="0" fontId="27" fillId="0" borderId="0" xfId="0" applyFont="1" applyAlignment="1" applyProtection="1">
      <alignment horizontal="left"/>
    </xf>
    <xf numFmtId="2" fontId="0" fillId="0" borderId="0" xfId="0" applyNumberFormat="1" applyBorder="1" applyProtection="1">
      <protection locked="0"/>
    </xf>
    <xf numFmtId="0" fontId="4" fillId="0" borderId="0" xfId="0" applyFont="1" applyBorder="1"/>
    <xf numFmtId="0" fontId="0" fillId="8" borderId="0" xfId="0" applyFill="1" applyBorder="1" applyAlignment="1" applyProtection="1">
      <alignment horizontal="center"/>
      <protection locked="0"/>
    </xf>
    <xf numFmtId="0" fontId="70" fillId="14" borderId="0" xfId="0" applyFont="1" applyFill="1" applyBorder="1" applyAlignment="1" applyProtection="1">
      <alignment horizontal="center"/>
    </xf>
    <xf numFmtId="0" fontId="38" fillId="0" borderId="0" xfId="0" applyFont="1" applyAlignment="1">
      <alignment horizontal="right"/>
    </xf>
    <xf numFmtId="0" fontId="19" fillId="0" borderId="0" xfId="0" applyFont="1" applyAlignment="1">
      <alignment horizontal="left" wrapText="1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20" fillId="0" borderId="36" xfId="0" applyFont="1" applyBorder="1" applyAlignment="1">
      <alignment horizontal="center"/>
    </xf>
    <xf numFmtId="0" fontId="20" fillId="0" borderId="37" xfId="0" applyFont="1" applyBorder="1" applyAlignment="1">
      <alignment horizontal="center"/>
    </xf>
    <xf numFmtId="0" fontId="20" fillId="0" borderId="3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20" fillId="0" borderId="45" xfId="0" applyFont="1" applyBorder="1" applyAlignment="1">
      <alignment horizontal="center"/>
    </xf>
    <xf numFmtId="0" fontId="20" fillId="0" borderId="44" xfId="0" applyFont="1" applyBorder="1" applyAlignment="1">
      <alignment horizontal="center"/>
    </xf>
  </cellXfs>
  <cellStyles count="10">
    <cellStyle name="ConditionalStyle_1" xfId="3" xr:uid="{00000000-0005-0000-0000-000000000000}"/>
    <cellStyle name="Excel Built-in Hyperlink" xfId="4" xr:uid="{00000000-0005-0000-0000-000001000000}"/>
    <cellStyle name="Excel Built-in Normal" xfId="5" xr:uid="{00000000-0005-0000-0000-000002000000}"/>
    <cellStyle name="Heading" xfId="6" xr:uid="{00000000-0005-0000-0000-000003000000}"/>
    <cellStyle name="Heading1" xfId="7" xr:uid="{00000000-0005-0000-0000-000004000000}"/>
    <cellStyle name="Lien hypertexte" xfId="1" builtinId="8"/>
    <cellStyle name="Normal" xfId="0" builtinId="0"/>
    <cellStyle name="Normal 2" xfId="2" xr:uid="{00000000-0005-0000-0000-000007000000}"/>
    <cellStyle name="Result" xfId="8" xr:uid="{00000000-0005-0000-0000-000008000000}"/>
    <cellStyle name="Result2" xfId="9" xr:uid="{00000000-0005-0000-0000-000009000000}"/>
  </cellStyles>
  <dxfs count="2"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5" tint="0.399945066682943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marker>
            <c:symbol val="none"/>
          </c:marker>
          <c:xVal>
            <c:numRef>
              <c:f>Advance_curve!$D$9:$D$103</c:f>
              <c:numCache>
                <c:formatCode>0</c:formatCode>
                <c:ptCount val="95"/>
                <c:pt idx="0">
                  <c:v>10653</c:v>
                </c:pt>
                <c:pt idx="1">
                  <c:v>9765</c:v>
                </c:pt>
                <c:pt idx="2">
                  <c:v>9014</c:v>
                </c:pt>
                <c:pt idx="3">
                  <c:v>8370</c:v>
                </c:pt>
                <c:pt idx="4">
                  <c:v>7812</c:v>
                </c:pt>
                <c:pt idx="5">
                  <c:v>7324</c:v>
                </c:pt>
                <c:pt idx="6">
                  <c:v>6893</c:v>
                </c:pt>
                <c:pt idx="7">
                  <c:v>6510</c:v>
                </c:pt>
                <c:pt idx="8">
                  <c:v>6167</c:v>
                </c:pt>
                <c:pt idx="9">
                  <c:v>5859</c:v>
                </c:pt>
                <c:pt idx="10">
                  <c:v>5580</c:v>
                </c:pt>
                <c:pt idx="11">
                  <c:v>5326</c:v>
                </c:pt>
                <c:pt idx="12">
                  <c:v>5095</c:v>
                </c:pt>
                <c:pt idx="13">
                  <c:v>4882</c:v>
                </c:pt>
                <c:pt idx="14">
                  <c:v>4687</c:v>
                </c:pt>
                <c:pt idx="15">
                  <c:v>4507</c:v>
                </c:pt>
                <c:pt idx="16">
                  <c:v>4340</c:v>
                </c:pt>
                <c:pt idx="17">
                  <c:v>4185</c:v>
                </c:pt>
                <c:pt idx="18">
                  <c:v>4040</c:v>
                </c:pt>
                <c:pt idx="19">
                  <c:v>3906</c:v>
                </c:pt>
                <c:pt idx="20">
                  <c:v>3780</c:v>
                </c:pt>
                <c:pt idx="21">
                  <c:v>3662</c:v>
                </c:pt>
                <c:pt idx="22">
                  <c:v>3551</c:v>
                </c:pt>
                <c:pt idx="23">
                  <c:v>3446</c:v>
                </c:pt>
                <c:pt idx="24">
                  <c:v>3348</c:v>
                </c:pt>
                <c:pt idx="25">
                  <c:v>3255</c:v>
                </c:pt>
                <c:pt idx="26">
                  <c:v>3167</c:v>
                </c:pt>
                <c:pt idx="27">
                  <c:v>3083</c:v>
                </c:pt>
                <c:pt idx="28">
                  <c:v>3004</c:v>
                </c:pt>
                <c:pt idx="29">
                  <c:v>2929</c:v>
                </c:pt>
                <c:pt idx="30">
                  <c:v>2858</c:v>
                </c:pt>
                <c:pt idx="31">
                  <c:v>2790</c:v>
                </c:pt>
                <c:pt idx="32">
                  <c:v>2725</c:v>
                </c:pt>
                <c:pt idx="33">
                  <c:v>2663</c:v>
                </c:pt>
                <c:pt idx="34">
                  <c:v>2604</c:v>
                </c:pt>
                <c:pt idx="35">
                  <c:v>2547</c:v>
                </c:pt>
                <c:pt idx="36">
                  <c:v>2493</c:v>
                </c:pt>
                <c:pt idx="37">
                  <c:v>2441</c:v>
                </c:pt>
                <c:pt idx="38">
                  <c:v>2391</c:v>
                </c:pt>
                <c:pt idx="39">
                  <c:v>2343</c:v>
                </c:pt>
                <c:pt idx="40">
                  <c:v>2297</c:v>
                </c:pt>
                <c:pt idx="41">
                  <c:v>2253</c:v>
                </c:pt>
                <c:pt idx="42">
                  <c:v>2211</c:v>
                </c:pt>
                <c:pt idx="43">
                  <c:v>2170</c:v>
                </c:pt>
                <c:pt idx="44">
                  <c:v>2130</c:v>
                </c:pt>
                <c:pt idx="45">
                  <c:v>2092</c:v>
                </c:pt>
                <c:pt idx="46">
                  <c:v>2055</c:v>
                </c:pt>
                <c:pt idx="47">
                  <c:v>2020</c:v>
                </c:pt>
                <c:pt idx="48">
                  <c:v>1986</c:v>
                </c:pt>
                <c:pt idx="49">
                  <c:v>1953</c:v>
                </c:pt>
                <c:pt idx="50">
                  <c:v>1921</c:v>
                </c:pt>
                <c:pt idx="51">
                  <c:v>1890</c:v>
                </c:pt>
                <c:pt idx="52">
                  <c:v>1860</c:v>
                </c:pt>
                <c:pt idx="53">
                  <c:v>1831</c:v>
                </c:pt>
                <c:pt idx="54">
                  <c:v>1802</c:v>
                </c:pt>
                <c:pt idx="55">
                  <c:v>1775</c:v>
                </c:pt>
                <c:pt idx="56">
                  <c:v>1749</c:v>
                </c:pt>
                <c:pt idx="57">
                  <c:v>1723</c:v>
                </c:pt>
                <c:pt idx="58">
                  <c:v>1698</c:v>
                </c:pt>
                <c:pt idx="59">
                  <c:v>1674</c:v>
                </c:pt>
                <c:pt idx="60">
                  <c:v>1650</c:v>
                </c:pt>
                <c:pt idx="61">
                  <c:v>1627</c:v>
                </c:pt>
                <c:pt idx="62">
                  <c:v>1605</c:v>
                </c:pt>
                <c:pt idx="63">
                  <c:v>1583</c:v>
                </c:pt>
                <c:pt idx="64">
                  <c:v>1562</c:v>
                </c:pt>
                <c:pt idx="65">
                  <c:v>1541</c:v>
                </c:pt>
                <c:pt idx="66">
                  <c:v>1521</c:v>
                </c:pt>
                <c:pt idx="67">
                  <c:v>1502</c:v>
                </c:pt>
                <c:pt idx="68">
                  <c:v>1483</c:v>
                </c:pt>
                <c:pt idx="69">
                  <c:v>1464</c:v>
                </c:pt>
                <c:pt idx="70">
                  <c:v>1446</c:v>
                </c:pt>
                <c:pt idx="71">
                  <c:v>1429</c:v>
                </c:pt>
                <c:pt idx="72">
                  <c:v>1411</c:v>
                </c:pt>
                <c:pt idx="73">
                  <c:v>1395</c:v>
                </c:pt>
                <c:pt idx="74">
                  <c:v>1378</c:v>
                </c:pt>
                <c:pt idx="75">
                  <c:v>1362</c:v>
                </c:pt>
                <c:pt idx="76">
                  <c:v>1346</c:v>
                </c:pt>
                <c:pt idx="77">
                  <c:v>1331</c:v>
                </c:pt>
                <c:pt idx="78">
                  <c:v>1316</c:v>
                </c:pt>
                <c:pt idx="79">
                  <c:v>1302</c:v>
                </c:pt>
                <c:pt idx="80">
                  <c:v>1287</c:v>
                </c:pt>
                <c:pt idx="81">
                  <c:v>1273</c:v>
                </c:pt>
                <c:pt idx="82">
                  <c:v>1260</c:v>
                </c:pt>
                <c:pt idx="83">
                  <c:v>1246</c:v>
                </c:pt>
                <c:pt idx="84">
                  <c:v>1233</c:v>
                </c:pt>
                <c:pt idx="85">
                  <c:v>1220</c:v>
                </c:pt>
                <c:pt idx="86">
                  <c:v>1208</c:v>
                </c:pt>
                <c:pt idx="87">
                  <c:v>1195</c:v>
                </c:pt>
                <c:pt idx="88">
                  <c:v>1183</c:v>
                </c:pt>
                <c:pt idx="89">
                  <c:v>1171</c:v>
                </c:pt>
                <c:pt idx="90">
                  <c:v>1160</c:v>
                </c:pt>
                <c:pt idx="91">
                  <c:v>1148</c:v>
                </c:pt>
                <c:pt idx="92">
                  <c:v>1137</c:v>
                </c:pt>
                <c:pt idx="93">
                  <c:v>1126</c:v>
                </c:pt>
                <c:pt idx="94">
                  <c:v>1116</c:v>
                </c:pt>
              </c:numCache>
            </c:numRef>
          </c:xVal>
          <c:yVal>
            <c:numRef>
              <c:f>Advance_curve!$F$9:$F$103</c:f>
              <c:numCache>
                <c:formatCode>0.0</c:formatCode>
                <c:ptCount val="95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14</c:v>
                </c:pt>
                <c:pt idx="6">
                  <c:v>14</c:v>
                </c:pt>
                <c:pt idx="7">
                  <c:v>14</c:v>
                </c:pt>
                <c:pt idx="8">
                  <c:v>14</c:v>
                </c:pt>
                <c:pt idx="9">
                  <c:v>14</c:v>
                </c:pt>
                <c:pt idx="10">
                  <c:v>14</c:v>
                </c:pt>
                <c:pt idx="11">
                  <c:v>14</c:v>
                </c:pt>
                <c:pt idx="12">
                  <c:v>14</c:v>
                </c:pt>
                <c:pt idx="13">
                  <c:v>14</c:v>
                </c:pt>
                <c:pt idx="14">
                  <c:v>14</c:v>
                </c:pt>
                <c:pt idx="15">
                  <c:v>14</c:v>
                </c:pt>
                <c:pt idx="16">
                  <c:v>14</c:v>
                </c:pt>
                <c:pt idx="17">
                  <c:v>14</c:v>
                </c:pt>
                <c:pt idx="18">
                  <c:v>14</c:v>
                </c:pt>
                <c:pt idx="19">
                  <c:v>14</c:v>
                </c:pt>
                <c:pt idx="20">
                  <c:v>14</c:v>
                </c:pt>
                <c:pt idx="21">
                  <c:v>14</c:v>
                </c:pt>
                <c:pt idx="22">
                  <c:v>14</c:v>
                </c:pt>
                <c:pt idx="23">
                  <c:v>14</c:v>
                </c:pt>
                <c:pt idx="24">
                  <c:v>14</c:v>
                </c:pt>
                <c:pt idx="25">
                  <c:v>14</c:v>
                </c:pt>
                <c:pt idx="26">
                  <c:v>14</c:v>
                </c:pt>
                <c:pt idx="27">
                  <c:v>14</c:v>
                </c:pt>
                <c:pt idx="28">
                  <c:v>14</c:v>
                </c:pt>
                <c:pt idx="29">
                  <c:v>14</c:v>
                </c:pt>
                <c:pt idx="30">
                  <c:v>14</c:v>
                </c:pt>
                <c:pt idx="31">
                  <c:v>14</c:v>
                </c:pt>
                <c:pt idx="32">
                  <c:v>14</c:v>
                </c:pt>
                <c:pt idx="33">
                  <c:v>14</c:v>
                </c:pt>
                <c:pt idx="34">
                  <c:v>14</c:v>
                </c:pt>
                <c:pt idx="35">
                  <c:v>14</c:v>
                </c:pt>
                <c:pt idx="36">
                  <c:v>14</c:v>
                </c:pt>
                <c:pt idx="37">
                  <c:v>14</c:v>
                </c:pt>
                <c:pt idx="38">
                  <c:v>14</c:v>
                </c:pt>
                <c:pt idx="39">
                  <c:v>14</c:v>
                </c:pt>
                <c:pt idx="40">
                  <c:v>14</c:v>
                </c:pt>
                <c:pt idx="41">
                  <c:v>14</c:v>
                </c:pt>
                <c:pt idx="42">
                  <c:v>14</c:v>
                </c:pt>
                <c:pt idx="43">
                  <c:v>14</c:v>
                </c:pt>
                <c:pt idx="44">
                  <c:v>14</c:v>
                </c:pt>
                <c:pt idx="45">
                  <c:v>14</c:v>
                </c:pt>
                <c:pt idx="46">
                  <c:v>14</c:v>
                </c:pt>
                <c:pt idx="47">
                  <c:v>14</c:v>
                </c:pt>
                <c:pt idx="48">
                  <c:v>14</c:v>
                </c:pt>
                <c:pt idx="49">
                  <c:v>14</c:v>
                </c:pt>
                <c:pt idx="50">
                  <c:v>14</c:v>
                </c:pt>
                <c:pt idx="51">
                  <c:v>14</c:v>
                </c:pt>
                <c:pt idx="52">
                  <c:v>14</c:v>
                </c:pt>
                <c:pt idx="53">
                  <c:v>14</c:v>
                </c:pt>
                <c:pt idx="54">
                  <c:v>14</c:v>
                </c:pt>
                <c:pt idx="55">
                  <c:v>14</c:v>
                </c:pt>
                <c:pt idx="56">
                  <c:v>14</c:v>
                </c:pt>
                <c:pt idx="57">
                  <c:v>14</c:v>
                </c:pt>
                <c:pt idx="58">
                  <c:v>14</c:v>
                </c:pt>
                <c:pt idx="59">
                  <c:v>14</c:v>
                </c:pt>
                <c:pt idx="60">
                  <c:v>14</c:v>
                </c:pt>
                <c:pt idx="61">
                  <c:v>14</c:v>
                </c:pt>
                <c:pt idx="62">
                  <c:v>14</c:v>
                </c:pt>
                <c:pt idx="63">
                  <c:v>14</c:v>
                </c:pt>
                <c:pt idx="64">
                  <c:v>14</c:v>
                </c:pt>
                <c:pt idx="65">
                  <c:v>14</c:v>
                </c:pt>
                <c:pt idx="66">
                  <c:v>14</c:v>
                </c:pt>
                <c:pt idx="67">
                  <c:v>14</c:v>
                </c:pt>
                <c:pt idx="68">
                  <c:v>14</c:v>
                </c:pt>
                <c:pt idx="69">
                  <c:v>14</c:v>
                </c:pt>
                <c:pt idx="70">
                  <c:v>14</c:v>
                </c:pt>
                <c:pt idx="71">
                  <c:v>14</c:v>
                </c:pt>
                <c:pt idx="72">
                  <c:v>14</c:v>
                </c:pt>
                <c:pt idx="73">
                  <c:v>14</c:v>
                </c:pt>
                <c:pt idx="74">
                  <c:v>14</c:v>
                </c:pt>
                <c:pt idx="75">
                  <c:v>14</c:v>
                </c:pt>
                <c:pt idx="76">
                  <c:v>14</c:v>
                </c:pt>
                <c:pt idx="77">
                  <c:v>14</c:v>
                </c:pt>
                <c:pt idx="78">
                  <c:v>14</c:v>
                </c:pt>
                <c:pt idx="79">
                  <c:v>14</c:v>
                </c:pt>
                <c:pt idx="80">
                  <c:v>14</c:v>
                </c:pt>
                <c:pt idx="81">
                  <c:v>14</c:v>
                </c:pt>
                <c:pt idx="82">
                  <c:v>14</c:v>
                </c:pt>
                <c:pt idx="83">
                  <c:v>14</c:v>
                </c:pt>
                <c:pt idx="84">
                  <c:v>14</c:v>
                </c:pt>
                <c:pt idx="85">
                  <c:v>14</c:v>
                </c:pt>
                <c:pt idx="86">
                  <c:v>14</c:v>
                </c:pt>
                <c:pt idx="87">
                  <c:v>14</c:v>
                </c:pt>
                <c:pt idx="88">
                  <c:v>14</c:v>
                </c:pt>
                <c:pt idx="89">
                  <c:v>14</c:v>
                </c:pt>
                <c:pt idx="90">
                  <c:v>14</c:v>
                </c:pt>
                <c:pt idx="91">
                  <c:v>14</c:v>
                </c:pt>
                <c:pt idx="92">
                  <c:v>14</c:v>
                </c:pt>
                <c:pt idx="93">
                  <c:v>14</c:v>
                </c:pt>
                <c:pt idx="94">
                  <c:v>14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EC0-4911-A732-F40A7B088A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6101504"/>
        <c:axId val="96103040"/>
      </c:scatterChart>
      <c:valAx>
        <c:axId val="96101504"/>
        <c:scaling>
          <c:orientation val="minMax"/>
        </c:scaling>
        <c:delete val="0"/>
        <c:axPos val="b"/>
        <c:minorGridlines/>
        <c:numFmt formatCode="0" sourceLinked="1"/>
        <c:majorTickMark val="out"/>
        <c:minorTickMark val="in"/>
        <c:tickLblPos val="nextTo"/>
        <c:crossAx val="96103040"/>
        <c:crosses val="autoZero"/>
        <c:crossBetween val="midCat"/>
        <c:minorUnit val="1000"/>
      </c:valAx>
      <c:valAx>
        <c:axId val="96103040"/>
        <c:scaling>
          <c:orientation val="minMax"/>
        </c:scaling>
        <c:delete val="0"/>
        <c:axPos val="l"/>
        <c:majorGridlines/>
        <c:min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inorGridlines>
        <c:numFmt formatCode="0.0" sourceLinked="1"/>
        <c:majorTickMark val="out"/>
        <c:minorTickMark val="none"/>
        <c:tickLblPos val="nextTo"/>
        <c:spPr>
          <a:effectLst>
            <a:outerShdw blurRad="50800" dist="50800" dir="5400000" algn="ctr" rotWithShape="0">
              <a:schemeClr val="bg1"/>
            </a:outerShdw>
          </a:effectLst>
        </c:spPr>
        <c:crossAx val="96101504"/>
        <c:crosses val="autoZero"/>
        <c:crossBetween val="midCat"/>
        <c:minorUnit val="1"/>
      </c:valAx>
    </c:plotArea>
    <c:plotVisOnly val="1"/>
    <c:dispBlanksAs val="gap"/>
    <c:showDLblsOverMax val="0"/>
  </c:chart>
  <c:spPr>
    <a:noFill/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Advance at LOW RPM</a:t>
            </a:r>
          </a:p>
        </c:rich>
      </c:tx>
      <c:layout>
        <c:manualLayout>
          <c:xMode val="edge"/>
          <c:yMode val="edge"/>
          <c:x val="0.34903047091412742"/>
          <c:y val="3.75426621160409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742382271468139"/>
          <c:y val="0.13768449189250123"/>
          <c:w val="0.82409972299168999"/>
          <c:h val="0.74199495783630931"/>
        </c:manualLayout>
      </c:layout>
      <c:lineChart>
        <c:grouping val="standard"/>
        <c:varyColors val="0"/>
        <c:ser>
          <c:idx val="0"/>
          <c:order val="0"/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advance_at_lowRPM!$O$8:$O$49</c:f>
              <c:strCache>
                <c:ptCount val="42"/>
                <c:pt idx="0">
                  <c:v>120</c:v>
                </c:pt>
                <c:pt idx="1">
                  <c:v>240</c:v>
                </c:pt>
                <c:pt idx="2">
                  <c:v>360</c:v>
                </c:pt>
                <c:pt idx="3">
                  <c:v>480</c:v>
                </c:pt>
                <c:pt idx="4">
                  <c:v>600</c:v>
                </c:pt>
                <c:pt idx="5">
                  <c:v>720</c:v>
                </c:pt>
                <c:pt idx="6">
                  <c:v>840</c:v>
                </c:pt>
                <c:pt idx="7">
                  <c:v>960</c:v>
                </c:pt>
                <c:pt idx="8">
                  <c:v>1080</c:v>
                </c:pt>
                <c:pt idx="9">
                  <c:v>1200</c:v>
                </c:pt>
                <c:pt idx="10">
                  <c:v> </c:v>
                </c:pt>
                <c:pt idx="11">
                  <c:v> </c:v>
                </c:pt>
                <c:pt idx="12">
                  <c:v> </c:v>
                </c:pt>
                <c:pt idx="13">
                  <c:v> </c:v>
                </c:pt>
                <c:pt idx="14">
                  <c:v> </c:v>
                </c:pt>
                <c:pt idx="15">
                  <c:v> </c:v>
                </c:pt>
                <c:pt idx="16">
                  <c:v> </c:v>
                </c:pt>
                <c:pt idx="17">
                  <c:v> </c:v>
                </c:pt>
                <c:pt idx="18">
                  <c:v> </c:v>
                </c:pt>
                <c:pt idx="19">
                  <c:v> </c:v>
                </c:pt>
                <c:pt idx="20">
                  <c:v> </c:v>
                </c:pt>
                <c:pt idx="21">
                  <c:v> </c:v>
                </c:pt>
                <c:pt idx="22">
                  <c:v> </c:v>
                </c:pt>
                <c:pt idx="23">
                  <c:v> </c:v>
                </c:pt>
                <c:pt idx="24">
                  <c:v> </c:v>
                </c:pt>
                <c:pt idx="25">
                  <c:v> </c:v>
                </c:pt>
                <c:pt idx="26">
                  <c:v> </c:v>
                </c:pt>
                <c:pt idx="27">
                  <c:v> </c:v>
                </c:pt>
                <c:pt idx="28">
                  <c:v> </c:v>
                </c:pt>
                <c:pt idx="29">
                  <c:v> </c:v>
                </c:pt>
                <c:pt idx="30">
                  <c:v> </c:v>
                </c:pt>
                <c:pt idx="31">
                  <c:v> </c:v>
                </c:pt>
                <c:pt idx="32">
                  <c:v> </c:v>
                </c:pt>
                <c:pt idx="33">
                  <c:v> </c:v>
                </c:pt>
                <c:pt idx="34">
                  <c:v> </c:v>
                </c:pt>
                <c:pt idx="35">
                  <c:v> </c:v>
                </c:pt>
                <c:pt idx="36">
                  <c:v> </c:v>
                </c:pt>
                <c:pt idx="37">
                  <c:v> </c:v>
                </c:pt>
                <c:pt idx="38">
                  <c:v> </c:v>
                </c:pt>
                <c:pt idx="39">
                  <c:v> </c:v>
                </c:pt>
                <c:pt idx="40">
                  <c:v> </c:v>
                </c:pt>
                <c:pt idx="41">
                  <c:v> </c:v>
                </c:pt>
              </c:strCache>
            </c:strRef>
          </c:cat>
          <c:val>
            <c:numRef>
              <c:f>advance_at_lowRPM!$U$8:$U$49</c:f>
              <c:numCache>
                <c:formatCode>0.0</c:formatCode>
                <c:ptCount val="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3.4303999999999988</c:v>
                </c:pt>
                <c:pt idx="8">
                  <c:v>3.5967199999999906</c:v>
                </c:pt>
                <c:pt idx="9">
                  <c:v>3.4303999999999917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3F0-41D0-BEA5-E31C3FDA4C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176000"/>
        <c:axId val="96178944"/>
      </c:lineChart>
      <c:catAx>
        <c:axId val="961760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RPM</a:t>
                </a:r>
              </a:p>
            </c:rich>
          </c:tx>
          <c:layout>
            <c:manualLayout>
              <c:xMode val="edge"/>
              <c:yMode val="edge"/>
              <c:x val="0.45493025410127425"/>
              <c:y val="0.9066843791765293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96178944"/>
        <c:crosses val="autoZero"/>
        <c:auto val="1"/>
        <c:lblAlgn val="ctr"/>
        <c:lblOffset val="100"/>
        <c:noMultiLvlLbl val="1"/>
      </c:catAx>
      <c:valAx>
        <c:axId val="96178944"/>
        <c:scaling>
          <c:orientation val="minMax"/>
          <c:max val="30"/>
          <c:min val="-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Degrees</a:t>
                </a:r>
              </a:p>
            </c:rich>
          </c:tx>
          <c:layout>
            <c:manualLayout>
              <c:xMode val="edge"/>
              <c:yMode val="edge"/>
              <c:x val="2.2160664819944598E-2"/>
              <c:y val="0.39590443686006843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96176000"/>
        <c:crosses val="autoZero"/>
        <c:crossBetween val="between"/>
        <c:minorUnit val="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78" l="0.78740157499999996" r="0.78740157499999996" t="0.98425196899999978" header="0.49212598450000011" footer="0.4921259845000001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strRef>
              <c:f>Accuracy!$B$5</c:f>
              <c:strCache>
                <c:ptCount val="1"/>
                <c:pt idx="0">
                  <c:v>ERROR</c:v>
                </c:pt>
              </c:strCache>
            </c:strRef>
          </c:tx>
          <c:marker>
            <c:symbol val="none"/>
          </c:marker>
          <c:xVal>
            <c:numRef>
              <c:f>Accuracy!$A$6:$A$16</c:f>
              <c:numCache>
                <c:formatCode>General</c:formatCode>
                <c:ptCount val="11"/>
                <c:pt idx="0">
                  <c:v>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</c:numCache>
            </c:numRef>
          </c:xVal>
          <c:yVal>
            <c:numRef>
              <c:f>Accuracy!$B$6:$B$16</c:f>
              <c:numCache>
                <c:formatCode>0.00</c:formatCode>
                <c:ptCount val="11"/>
                <c:pt idx="0" formatCode="General">
                  <c:v>0</c:v>
                </c:pt>
                <c:pt idx="1">
                  <c:v>2.0399999999999998E-2</c:v>
                </c:pt>
                <c:pt idx="2">
                  <c:v>4.0799999999999996E-2</c:v>
                </c:pt>
                <c:pt idx="3">
                  <c:v>6.1199999999999997E-2</c:v>
                </c:pt>
                <c:pt idx="4">
                  <c:v>8.1599999999999992E-2</c:v>
                </c:pt>
                <c:pt idx="5">
                  <c:v>0.10199999999999999</c:v>
                </c:pt>
                <c:pt idx="6">
                  <c:v>0.12239999999999999</c:v>
                </c:pt>
                <c:pt idx="7">
                  <c:v>0.14279999999999998</c:v>
                </c:pt>
                <c:pt idx="8">
                  <c:v>0.16319999999999998</c:v>
                </c:pt>
                <c:pt idx="9">
                  <c:v>0.18359999999999999</c:v>
                </c:pt>
                <c:pt idx="10">
                  <c:v>0.20399999999999999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832-4F5E-AF51-8B7CDF7F03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0462080"/>
        <c:axId val="110464000"/>
      </c:scatterChart>
      <c:valAx>
        <c:axId val="110462080"/>
        <c:scaling>
          <c:orientation val="minMax"/>
          <c:max val="10000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RPM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10464000"/>
        <c:crosses val="autoZero"/>
        <c:crossBetween val="midCat"/>
        <c:majorUnit val="1000"/>
      </c:valAx>
      <c:valAx>
        <c:axId val="110464000"/>
        <c:scaling>
          <c:orientation val="minMax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DEGREE of ERROR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1046208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marker>
            <c:symbol val="none"/>
          </c:marker>
          <c:val>
            <c:numRef>
              <c:f>'Dwell variable'!$C$4:$C$98</c:f>
              <c:numCache>
                <c:formatCode>0</c:formatCode>
                <c:ptCount val="95"/>
                <c:pt idx="0">
                  <c:v>550</c:v>
                </c:pt>
                <c:pt idx="1">
                  <c:v>600</c:v>
                </c:pt>
                <c:pt idx="2">
                  <c:v>650</c:v>
                </c:pt>
                <c:pt idx="3">
                  <c:v>700</c:v>
                </c:pt>
                <c:pt idx="4">
                  <c:v>750</c:v>
                </c:pt>
                <c:pt idx="5">
                  <c:v>800</c:v>
                </c:pt>
                <c:pt idx="6">
                  <c:v>850</c:v>
                </c:pt>
                <c:pt idx="7">
                  <c:v>900</c:v>
                </c:pt>
                <c:pt idx="8">
                  <c:v>950</c:v>
                </c:pt>
                <c:pt idx="9">
                  <c:v>1000</c:v>
                </c:pt>
                <c:pt idx="10">
                  <c:v>1050</c:v>
                </c:pt>
                <c:pt idx="11">
                  <c:v>1100</c:v>
                </c:pt>
                <c:pt idx="12">
                  <c:v>1150</c:v>
                </c:pt>
                <c:pt idx="13">
                  <c:v>1200</c:v>
                </c:pt>
                <c:pt idx="14">
                  <c:v>1250</c:v>
                </c:pt>
                <c:pt idx="15">
                  <c:v>1300</c:v>
                </c:pt>
                <c:pt idx="16">
                  <c:v>1350</c:v>
                </c:pt>
                <c:pt idx="17">
                  <c:v>1400</c:v>
                </c:pt>
                <c:pt idx="18">
                  <c:v>1450</c:v>
                </c:pt>
                <c:pt idx="19">
                  <c:v>1500</c:v>
                </c:pt>
                <c:pt idx="20">
                  <c:v>1550</c:v>
                </c:pt>
                <c:pt idx="21">
                  <c:v>1600</c:v>
                </c:pt>
                <c:pt idx="22">
                  <c:v>1650</c:v>
                </c:pt>
                <c:pt idx="23">
                  <c:v>1700</c:v>
                </c:pt>
                <c:pt idx="24">
                  <c:v>1750</c:v>
                </c:pt>
                <c:pt idx="25">
                  <c:v>1800</c:v>
                </c:pt>
                <c:pt idx="26">
                  <c:v>1850</c:v>
                </c:pt>
                <c:pt idx="27">
                  <c:v>1900</c:v>
                </c:pt>
                <c:pt idx="28">
                  <c:v>1950</c:v>
                </c:pt>
                <c:pt idx="29">
                  <c:v>2000</c:v>
                </c:pt>
                <c:pt idx="30">
                  <c:v>2050</c:v>
                </c:pt>
                <c:pt idx="31">
                  <c:v>2100</c:v>
                </c:pt>
                <c:pt idx="32">
                  <c:v>2150</c:v>
                </c:pt>
                <c:pt idx="33">
                  <c:v>2200</c:v>
                </c:pt>
                <c:pt idx="34">
                  <c:v>2250</c:v>
                </c:pt>
                <c:pt idx="35">
                  <c:v>2300</c:v>
                </c:pt>
                <c:pt idx="36">
                  <c:v>2350</c:v>
                </c:pt>
                <c:pt idx="37">
                  <c:v>2400</c:v>
                </c:pt>
                <c:pt idx="38">
                  <c:v>2450</c:v>
                </c:pt>
                <c:pt idx="39">
                  <c:v>2500</c:v>
                </c:pt>
                <c:pt idx="40">
                  <c:v>2550</c:v>
                </c:pt>
                <c:pt idx="41">
                  <c:v>2600</c:v>
                </c:pt>
                <c:pt idx="42">
                  <c:v>2650</c:v>
                </c:pt>
                <c:pt idx="43">
                  <c:v>2700</c:v>
                </c:pt>
                <c:pt idx="44">
                  <c:v>2750</c:v>
                </c:pt>
                <c:pt idx="45">
                  <c:v>2800</c:v>
                </c:pt>
                <c:pt idx="46">
                  <c:v>2850</c:v>
                </c:pt>
                <c:pt idx="47">
                  <c:v>2900</c:v>
                </c:pt>
                <c:pt idx="48">
                  <c:v>2950</c:v>
                </c:pt>
                <c:pt idx="49">
                  <c:v>3000</c:v>
                </c:pt>
                <c:pt idx="50">
                  <c:v>3050</c:v>
                </c:pt>
                <c:pt idx="51">
                  <c:v>3100</c:v>
                </c:pt>
                <c:pt idx="52">
                  <c:v>3150</c:v>
                </c:pt>
                <c:pt idx="53">
                  <c:v>3200</c:v>
                </c:pt>
                <c:pt idx="54">
                  <c:v>3250</c:v>
                </c:pt>
                <c:pt idx="55">
                  <c:v>3300</c:v>
                </c:pt>
                <c:pt idx="56">
                  <c:v>3350</c:v>
                </c:pt>
                <c:pt idx="57">
                  <c:v>3400</c:v>
                </c:pt>
                <c:pt idx="58">
                  <c:v>3450</c:v>
                </c:pt>
                <c:pt idx="59">
                  <c:v>3500</c:v>
                </c:pt>
                <c:pt idx="60">
                  <c:v>3550</c:v>
                </c:pt>
                <c:pt idx="61">
                  <c:v>3600</c:v>
                </c:pt>
                <c:pt idx="62">
                  <c:v>3650</c:v>
                </c:pt>
                <c:pt idx="63">
                  <c:v>3700</c:v>
                </c:pt>
                <c:pt idx="64">
                  <c:v>3750</c:v>
                </c:pt>
                <c:pt idx="65">
                  <c:v>3800</c:v>
                </c:pt>
                <c:pt idx="66">
                  <c:v>3850</c:v>
                </c:pt>
                <c:pt idx="67">
                  <c:v>3900</c:v>
                </c:pt>
                <c:pt idx="68">
                  <c:v>3950</c:v>
                </c:pt>
                <c:pt idx="69">
                  <c:v>4000</c:v>
                </c:pt>
                <c:pt idx="70">
                  <c:v>4050</c:v>
                </c:pt>
                <c:pt idx="71">
                  <c:v>4100</c:v>
                </c:pt>
                <c:pt idx="72">
                  <c:v>4150</c:v>
                </c:pt>
                <c:pt idx="73">
                  <c:v>4200</c:v>
                </c:pt>
                <c:pt idx="74">
                  <c:v>4250</c:v>
                </c:pt>
                <c:pt idx="75">
                  <c:v>4300</c:v>
                </c:pt>
                <c:pt idx="76">
                  <c:v>4350</c:v>
                </c:pt>
                <c:pt idx="77">
                  <c:v>4400</c:v>
                </c:pt>
                <c:pt idx="78">
                  <c:v>4450</c:v>
                </c:pt>
                <c:pt idx="79">
                  <c:v>4500</c:v>
                </c:pt>
                <c:pt idx="80">
                  <c:v>4550</c:v>
                </c:pt>
                <c:pt idx="81">
                  <c:v>4600</c:v>
                </c:pt>
                <c:pt idx="82">
                  <c:v>4650</c:v>
                </c:pt>
                <c:pt idx="83">
                  <c:v>4700</c:v>
                </c:pt>
                <c:pt idx="84">
                  <c:v>4750</c:v>
                </c:pt>
                <c:pt idx="85">
                  <c:v>4800</c:v>
                </c:pt>
                <c:pt idx="86">
                  <c:v>4850</c:v>
                </c:pt>
                <c:pt idx="87">
                  <c:v>4900</c:v>
                </c:pt>
                <c:pt idx="88">
                  <c:v>4950</c:v>
                </c:pt>
                <c:pt idx="89">
                  <c:v>5000</c:v>
                </c:pt>
                <c:pt idx="90">
                  <c:v>5050</c:v>
                </c:pt>
                <c:pt idx="91">
                  <c:v>5100</c:v>
                </c:pt>
                <c:pt idx="92">
                  <c:v>5150</c:v>
                </c:pt>
                <c:pt idx="93">
                  <c:v>5200</c:v>
                </c:pt>
                <c:pt idx="94">
                  <c:v>5250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EDC-4057-A485-AFA805F8A4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7296768"/>
        <c:axId val="97298304"/>
      </c:lineChart>
      <c:catAx>
        <c:axId val="97296768"/>
        <c:scaling>
          <c:orientation val="minMax"/>
        </c:scaling>
        <c:delete val="0"/>
        <c:axPos val="b"/>
        <c:majorTickMark val="out"/>
        <c:minorTickMark val="none"/>
        <c:tickLblPos val="nextTo"/>
        <c:crossAx val="97298304"/>
        <c:crosses val="autoZero"/>
        <c:auto val="1"/>
        <c:lblAlgn val="ctr"/>
        <c:lblOffset val="100"/>
        <c:noMultiLvlLbl val="0"/>
      </c:catAx>
      <c:valAx>
        <c:axId val="97298304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972967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485776</xdr:colOff>
      <xdr:row>0</xdr:row>
      <xdr:rowOff>323851</xdr:rowOff>
    </xdr:from>
    <xdr:to>
      <xdr:col>17</xdr:col>
      <xdr:colOff>485775</xdr:colOff>
      <xdr:row>14</xdr:row>
      <xdr:rowOff>76200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8</xdr:row>
      <xdr:rowOff>0</xdr:rowOff>
    </xdr:from>
    <xdr:to>
      <xdr:col>11</xdr:col>
      <xdr:colOff>38100</xdr:colOff>
      <xdr:row>33</xdr:row>
      <xdr:rowOff>28575</xdr:rowOff>
    </xdr:to>
    <xdr:graphicFrame macro="">
      <xdr:nvGraphicFramePr>
        <xdr:cNvPr id="2098" name="Chart 26">
          <a:extLst>
            <a:ext uri="{FF2B5EF4-FFF2-40B4-BE49-F238E27FC236}">
              <a16:creationId xmlns:a16="http://schemas.microsoft.com/office/drawing/2014/main" id="{00000000-0008-0000-0200-000032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319086</xdr:colOff>
      <xdr:row>2</xdr:row>
      <xdr:rowOff>85726</xdr:rowOff>
    </xdr:from>
    <xdr:to>
      <xdr:col>10</xdr:col>
      <xdr:colOff>171450</xdr:colOff>
      <xdr:row>20</xdr:row>
      <xdr:rowOff>38100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542926</xdr:colOff>
      <xdr:row>23</xdr:row>
      <xdr:rowOff>28576</xdr:rowOff>
    </xdr:from>
    <xdr:to>
      <xdr:col>4</xdr:col>
      <xdr:colOff>447675</xdr:colOff>
      <xdr:row>35</xdr:row>
      <xdr:rowOff>129128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2926" y="1162051"/>
          <a:ext cx="2952749" cy="204365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</xdr:row>
      <xdr:rowOff>104775</xdr:rowOff>
    </xdr:from>
    <xdr:to>
      <xdr:col>10</xdr:col>
      <xdr:colOff>418096</xdr:colOff>
      <xdr:row>43</xdr:row>
      <xdr:rowOff>47531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4314825"/>
          <a:ext cx="8038096" cy="75238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690561</xdr:colOff>
      <xdr:row>5</xdr:row>
      <xdr:rowOff>9525</xdr:rowOff>
    </xdr:from>
    <xdr:to>
      <xdr:col>13</xdr:col>
      <xdr:colOff>323850</xdr:colOff>
      <xdr:row>22</xdr:row>
      <xdr:rowOff>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eng-serve.com/pic/pic_timer.html" TargetMode="External"/><Relationship Id="rId4" Type="http://schemas.openxmlformats.org/officeDocument/2006/relationships/comments" Target="../comments5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21"/>
  <sheetViews>
    <sheetView workbookViewId="0"/>
  </sheetViews>
  <sheetFormatPr baseColWidth="10" defaultRowHeight="12.75"/>
  <cols>
    <col min="1" max="1" width="6.5703125" style="166" customWidth="1"/>
    <col min="2" max="16384" width="11.42578125" style="166"/>
  </cols>
  <sheetData>
    <row r="2" spans="1:8">
      <c r="B2" s="185" t="s">
        <v>210</v>
      </c>
    </row>
    <row r="4" spans="1:8">
      <c r="H4" s="45" t="s">
        <v>211</v>
      </c>
    </row>
    <row r="6" spans="1:8">
      <c r="A6" s="166" t="s">
        <v>229</v>
      </c>
      <c r="B6" s="167" t="str">
        <f>CONCATENATE("5 degrees ",VeryLowRPM!B2)</f>
        <v>5 degrees Advance from 91 to 960 RPM</v>
      </c>
      <c r="H6" s="167" t="s">
        <v>250</v>
      </c>
    </row>
    <row r="8" spans="1:8">
      <c r="A8" s="166" t="s">
        <v>228</v>
      </c>
      <c r="B8" s="166" t="str">
        <f>CONCATENATE("Flat advance from ",advance_at_lowRPM!X7," to ",Advance_curve!D103,"RPM")</f>
        <v>Flat advance from 960 to 1116RPM</v>
      </c>
      <c r="H8" s="167" t="s">
        <v>230</v>
      </c>
    </row>
    <row r="9" spans="1:8">
      <c r="H9" s="167"/>
    </row>
    <row r="10" spans="1:8">
      <c r="A10" s="166" t="s">
        <v>227</v>
      </c>
      <c r="B10" s="166" t="str">
        <f>CONCATENATE("Advance curve is freely adjustable from ",Advance_curve!D103, " to ",Advance_curve!D14,"RPM")</f>
        <v>Advance curve is freely adjustable from 1116 to 7324RPM</v>
      </c>
      <c r="H10" s="167" t="s">
        <v>231</v>
      </c>
    </row>
    <row r="11" spans="1:8">
      <c r="H11" s="167"/>
    </row>
    <row r="12" spans="1:8">
      <c r="B12" s="167" t="s">
        <v>213</v>
      </c>
      <c r="H12" s="167" t="s">
        <v>232</v>
      </c>
    </row>
    <row r="14" spans="1:8">
      <c r="B14" s="166" t="str">
        <f>CONCATENATE("No spark when engine goes above ",Advance_curve!D9,"RPM - Act as absolute rev-limiter")</f>
        <v>No spark when engine goes above 10653RPM - Act as absolute rev-limiter</v>
      </c>
      <c r="H14" s="167" t="s">
        <v>231</v>
      </c>
    </row>
    <row r="15" spans="1:8">
      <c r="H15" s="167"/>
    </row>
    <row r="16" spans="1:8">
      <c r="B16" s="167" t="s">
        <v>233</v>
      </c>
      <c r="H16" s="167" t="s">
        <v>234</v>
      </c>
    </row>
    <row r="17" spans="1:8">
      <c r="H17" s="167"/>
    </row>
    <row r="18" spans="1:8">
      <c r="B18" s="188" t="s">
        <v>221</v>
      </c>
      <c r="C18" s="162"/>
      <c r="D18" s="162"/>
      <c r="E18" s="162"/>
    </row>
    <row r="21" spans="1:8">
      <c r="A21" s="10"/>
      <c r="B21" s="167"/>
    </row>
  </sheetData>
  <sheetProtection sheet="1" objects="1" scenarios="1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3:C10"/>
  <sheetViews>
    <sheetView workbookViewId="0">
      <selection activeCell="A11" sqref="A11"/>
    </sheetView>
  </sheetViews>
  <sheetFormatPr baseColWidth="10" defaultRowHeight="12.75"/>
  <sheetData>
    <row r="3" spans="1:3">
      <c r="A3" s="44" t="s">
        <v>143</v>
      </c>
      <c r="C3" s="48" t="s">
        <v>144</v>
      </c>
    </row>
    <row r="5" spans="1:3">
      <c r="A5" s="44" t="s">
        <v>145</v>
      </c>
      <c r="C5" s="44" t="s">
        <v>146</v>
      </c>
    </row>
    <row r="8" spans="1:3">
      <c r="A8" t="s">
        <v>147</v>
      </c>
    </row>
    <row r="10" spans="1:3">
      <c r="A10" s="167" t="s">
        <v>288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X33"/>
  <sheetViews>
    <sheetView workbookViewId="0">
      <selection activeCell="D33" sqref="D33"/>
    </sheetView>
  </sheetViews>
  <sheetFormatPr baseColWidth="10" defaultRowHeight="12.75"/>
  <cols>
    <col min="3" max="3" width="12.5703125" bestFit="1" customWidth="1"/>
    <col min="4" max="4" width="6" style="45" customWidth="1"/>
    <col min="5" max="5" width="6" bestFit="1" customWidth="1"/>
    <col min="6" max="6" width="6.7109375" style="87" customWidth="1"/>
    <col min="7" max="7" width="7.7109375" style="87" customWidth="1"/>
    <col min="8" max="8" width="5.7109375" style="87" customWidth="1"/>
    <col min="9" max="9" width="6.140625" style="87" bestFit="1" customWidth="1"/>
    <col min="10" max="10" width="10.140625" style="87" bestFit="1" customWidth="1"/>
    <col min="11" max="11" width="7.140625" style="87" customWidth="1"/>
    <col min="12" max="12" width="6.140625" style="87" bestFit="1" customWidth="1"/>
    <col min="13" max="13" width="6" style="87" bestFit="1" customWidth="1"/>
    <col min="14" max="14" width="8" style="87" customWidth="1"/>
    <col min="15" max="15" width="6.140625" style="87" bestFit="1" customWidth="1"/>
    <col min="16" max="16" width="6" style="87" bestFit="1" customWidth="1"/>
    <col min="17" max="17" width="22.28515625" style="87" bestFit="1" customWidth="1"/>
    <col min="18" max="18" width="6.42578125" style="150" customWidth="1"/>
    <col min="19" max="19" width="6" style="87" bestFit="1" customWidth="1"/>
    <col min="20" max="20" width="22.28515625" style="87" bestFit="1" customWidth="1"/>
    <col min="21" max="21" width="5.42578125" style="87" customWidth="1"/>
    <col min="22" max="22" width="6" style="87" bestFit="1" customWidth="1"/>
    <col min="23" max="23" width="22.28515625" style="87" bestFit="1" customWidth="1"/>
    <col min="24" max="24" width="19.28515625" customWidth="1"/>
  </cols>
  <sheetData>
    <row r="1" spans="1:24" ht="63.75">
      <c r="F1" s="137" t="s">
        <v>150</v>
      </c>
      <c r="G1" s="137" t="s">
        <v>151</v>
      </c>
      <c r="H1" s="137"/>
      <c r="I1" s="147" t="s">
        <v>155</v>
      </c>
      <c r="J1" s="144" t="s">
        <v>153</v>
      </c>
      <c r="K1" s="144"/>
      <c r="L1" s="147" t="s">
        <v>154</v>
      </c>
      <c r="M1" s="144"/>
      <c r="N1" s="144"/>
      <c r="O1" s="147" t="s">
        <v>152</v>
      </c>
      <c r="P1" s="144"/>
      <c r="Q1" s="144"/>
      <c r="R1" s="153" t="s">
        <v>156</v>
      </c>
      <c r="S1" s="144"/>
      <c r="T1" s="144"/>
      <c r="U1" s="153" t="s">
        <v>157</v>
      </c>
      <c r="V1" s="144"/>
      <c r="W1" s="144"/>
    </row>
    <row r="2" spans="1:24">
      <c r="B2" s="87" t="s">
        <v>2</v>
      </c>
      <c r="C2" s="87" t="s">
        <v>148</v>
      </c>
      <c r="D2" s="95" t="s">
        <v>11</v>
      </c>
      <c r="E2" s="87" t="s">
        <v>78</v>
      </c>
      <c r="F2" s="87" t="s">
        <v>149</v>
      </c>
      <c r="G2" s="87" t="s">
        <v>149</v>
      </c>
      <c r="I2" s="145" t="s">
        <v>11</v>
      </c>
      <c r="J2" s="87" t="s">
        <v>149</v>
      </c>
      <c r="L2" s="145"/>
      <c r="M2" s="145"/>
      <c r="N2" s="145"/>
      <c r="O2" s="152" t="s">
        <v>11</v>
      </c>
      <c r="P2" s="145"/>
      <c r="Q2" s="145"/>
      <c r="R2" s="152" t="s">
        <v>11</v>
      </c>
      <c r="S2" s="145"/>
      <c r="T2" s="145"/>
      <c r="U2" s="152" t="s">
        <v>11</v>
      </c>
      <c r="V2" s="145"/>
      <c r="W2" s="145"/>
      <c r="X2" s="87"/>
    </row>
    <row r="3" spans="1:24">
      <c r="A3">
        <v>1</v>
      </c>
      <c r="B3">
        <v>1000</v>
      </c>
      <c r="C3" s="136">
        <f>(2*formules!$D$3*B3)/(60*formules!$C$3)</f>
        <v>16.666666666666668</v>
      </c>
      <c r="D3" s="148">
        <f>1000*(60*formules!$C$3)/(2*formules!$D$3*B3)</f>
        <v>60</v>
      </c>
      <c r="E3" s="1">
        <f>D3*1000</f>
        <v>60000</v>
      </c>
      <c r="G3" s="140">
        <v>62000</v>
      </c>
      <c r="H3" t="str">
        <f>CONCATENATE($X3," = ",G3)</f>
        <v>FREQUENCE[1] = 62000</v>
      </c>
      <c r="I3" s="87">
        <v>70.400000000000006</v>
      </c>
      <c r="J3" s="87">
        <v>52800</v>
      </c>
      <c r="K3" t="str">
        <f>CONCATENATE($X3," = ",J3)</f>
        <v>FREQUENCE[1] = 52800</v>
      </c>
      <c r="L3" s="87">
        <v>60.8</v>
      </c>
      <c r="M3" s="87">
        <v>52000</v>
      </c>
      <c r="N3" t="str">
        <f>CONCATENATE($X3," = ",M3)</f>
        <v>FREQUENCE[1] = 52000</v>
      </c>
      <c r="O3" s="87">
        <v>60</v>
      </c>
      <c r="P3" s="146">
        <v>52000</v>
      </c>
      <c r="Q3" t="str">
        <f>CONCATENATE($X3," = ",P3)</f>
        <v>FREQUENCE[1] = 52000</v>
      </c>
      <c r="R3" s="150">
        <v>60</v>
      </c>
      <c r="S3" s="146">
        <v>52000</v>
      </c>
      <c r="T3" t="str">
        <f>CONCATENATE($X3," = ",S3)</f>
        <v>FREQUENCE[1] = 52000</v>
      </c>
      <c r="U3"/>
      <c r="V3" s="146">
        <v>52000</v>
      </c>
      <c r="W3" t="str">
        <f>CONCATENATE($X3," = ",V3)</f>
        <v>FREQUENCE[1] = 52000</v>
      </c>
      <c r="X3" t="str">
        <f t="shared" ref="X3:X29" si="0">CONCATENATE("FREQUENCE[",A3,"]")</f>
        <v>FREQUENCE[1]</v>
      </c>
    </row>
    <row r="4" spans="1:24" s="141" customFormat="1">
      <c r="A4" s="141">
        <v>2</v>
      </c>
      <c r="B4" s="141">
        <v>1500</v>
      </c>
      <c r="C4" s="142">
        <f>(2*formules!$D$3*B4)/(60*formules!$C$3)</f>
        <v>25</v>
      </c>
      <c r="D4" s="149">
        <f>1000*(60*formules!$C$3)/(2*formules!$D$3*B4)</f>
        <v>40</v>
      </c>
      <c r="E4" s="143">
        <f t="shared" ref="E4:E29" si="1">D4*1000</f>
        <v>40000</v>
      </c>
      <c r="F4" s="139"/>
      <c r="G4" s="139">
        <v>34500</v>
      </c>
      <c r="H4" t="str">
        <f t="shared" ref="H4:H29" si="2">CONCATENATE(X4," = ",G4)</f>
        <v>FREQUENCE[2] = 34500</v>
      </c>
      <c r="I4" s="139"/>
      <c r="J4" s="139">
        <v>0</v>
      </c>
      <c r="K4" t="str">
        <f t="shared" ref="K4:K29" si="3">CONCATENATE($X4," = ",J4)</f>
        <v>FREQUENCE[2] = 0</v>
      </c>
      <c r="L4" s="139"/>
      <c r="M4" s="139">
        <v>0</v>
      </c>
      <c r="N4" t="str">
        <f t="shared" ref="N4:N29" si="4">CONCATENATE($X4," = ",M4)</f>
        <v>FREQUENCE[2] = 0</v>
      </c>
      <c r="O4" s="139"/>
      <c r="P4" s="139">
        <v>0</v>
      </c>
      <c r="Q4" t="str">
        <f t="shared" ref="Q4:Q29" si="5">CONCATENATE($X4," = ",P4)</f>
        <v>FREQUENCE[2] = 0</v>
      </c>
      <c r="R4" s="151"/>
      <c r="S4" s="139">
        <v>0</v>
      </c>
      <c r="T4" t="str">
        <f t="shared" ref="T4:T29" si="6">CONCATENATE($X4," = ",S4)</f>
        <v>FREQUENCE[2] = 0</v>
      </c>
      <c r="U4"/>
      <c r="V4" s="139">
        <v>0</v>
      </c>
      <c r="W4" t="str">
        <f t="shared" ref="W4:W29" si="7">CONCATENATE($X4," = ",V4)</f>
        <v>FREQUENCE[2] = 0</v>
      </c>
      <c r="X4" s="141" t="str">
        <f t="shared" si="0"/>
        <v>FREQUENCE[2]</v>
      </c>
    </row>
    <row r="5" spans="1:24">
      <c r="A5">
        <v>3</v>
      </c>
      <c r="B5">
        <v>2000</v>
      </c>
      <c r="C5" s="136">
        <f>(2*formules!$D$3*B5)/(60*formules!$C$3)</f>
        <v>33.333333333333336</v>
      </c>
      <c r="D5" s="148">
        <f>1000*(60*formules!$C$3)/(2*formules!$D$3*B5)</f>
        <v>30</v>
      </c>
      <c r="E5" s="1">
        <f t="shared" si="1"/>
        <v>30000</v>
      </c>
      <c r="F5" s="87">
        <v>27320</v>
      </c>
      <c r="G5" s="87">
        <v>26670</v>
      </c>
      <c r="H5" t="str">
        <f t="shared" si="2"/>
        <v>FREQUENCE[3] = 26670</v>
      </c>
      <c r="I5" s="87">
        <v>31.6</v>
      </c>
      <c r="J5" s="87">
        <v>24700</v>
      </c>
      <c r="K5" t="str">
        <f t="shared" si="3"/>
        <v>FREQUENCE[3] = 24700</v>
      </c>
      <c r="L5" s="87">
        <v>30</v>
      </c>
      <c r="M5" s="146">
        <v>24700</v>
      </c>
      <c r="N5" t="str">
        <f t="shared" si="4"/>
        <v>FREQUENCE[3] = 24700</v>
      </c>
      <c r="O5" s="87">
        <v>29.4</v>
      </c>
      <c r="P5" s="87">
        <v>25200</v>
      </c>
      <c r="Q5" t="str">
        <f t="shared" si="5"/>
        <v>FREQUENCE[3] = 25200</v>
      </c>
      <c r="R5" s="150">
        <v>30</v>
      </c>
      <c r="S5" s="146">
        <v>25200</v>
      </c>
      <c r="T5" t="str">
        <f t="shared" si="6"/>
        <v>FREQUENCE[3] = 25200</v>
      </c>
      <c r="U5"/>
      <c r="V5" s="146">
        <v>25200</v>
      </c>
      <c r="W5" t="str">
        <f t="shared" si="7"/>
        <v>FREQUENCE[3] = 25200</v>
      </c>
      <c r="X5" t="str">
        <f t="shared" si="0"/>
        <v>FREQUENCE[3]</v>
      </c>
    </row>
    <row r="6" spans="1:24" s="141" customFormat="1">
      <c r="A6" s="141">
        <v>4</v>
      </c>
      <c r="B6" s="141">
        <v>2500</v>
      </c>
      <c r="C6" s="142">
        <f>(2*formules!$D$3*B6)/(60*formules!$C$3)</f>
        <v>41.666666666666664</v>
      </c>
      <c r="D6" s="149">
        <f>1000*(60*formules!$C$3)/(2*formules!$D$3*B6)</f>
        <v>24</v>
      </c>
      <c r="E6" s="143">
        <f t="shared" si="1"/>
        <v>24000</v>
      </c>
      <c r="F6" s="139">
        <v>21870</v>
      </c>
      <c r="G6" s="139">
        <v>21300</v>
      </c>
      <c r="H6" t="str">
        <f t="shared" si="2"/>
        <v>FREQUENCE[4] = 21300</v>
      </c>
      <c r="I6" s="139"/>
      <c r="J6" s="139">
        <v>0</v>
      </c>
      <c r="K6" t="str">
        <f t="shared" si="3"/>
        <v>FREQUENCE[4] = 0</v>
      </c>
      <c r="L6" s="139"/>
      <c r="M6" s="139">
        <v>0</v>
      </c>
      <c r="N6" t="str">
        <f t="shared" si="4"/>
        <v>FREQUENCE[4] = 0</v>
      </c>
      <c r="O6" s="139"/>
      <c r="P6" s="139">
        <v>0</v>
      </c>
      <c r="Q6" t="str">
        <f t="shared" si="5"/>
        <v>FREQUENCE[4] = 0</v>
      </c>
      <c r="R6" s="151"/>
      <c r="S6" s="139">
        <v>0</v>
      </c>
      <c r="T6" t="str">
        <f t="shared" si="6"/>
        <v>FREQUENCE[4] = 0</v>
      </c>
      <c r="U6"/>
      <c r="V6" s="139">
        <v>0</v>
      </c>
      <c r="W6" t="str">
        <f t="shared" si="7"/>
        <v>FREQUENCE[4] = 0</v>
      </c>
      <c r="X6" s="141" t="str">
        <f t="shared" si="0"/>
        <v>FREQUENCE[4]</v>
      </c>
    </row>
    <row r="7" spans="1:24">
      <c r="A7">
        <v>5</v>
      </c>
      <c r="B7">
        <v>3000</v>
      </c>
      <c r="C7" s="136">
        <f>(2*formules!$D$3*B7)/(60*formules!$C$3)</f>
        <v>50</v>
      </c>
      <c r="D7" s="148">
        <f>1000*(60*formules!$C$3)/(2*formules!$D$3*B7)</f>
        <v>20</v>
      </c>
      <c r="E7" s="1">
        <f t="shared" si="1"/>
        <v>20000</v>
      </c>
      <c r="F7" s="87">
        <v>18190</v>
      </c>
      <c r="G7" s="87">
        <v>17670</v>
      </c>
      <c r="H7" t="str">
        <f t="shared" si="2"/>
        <v>FREQUENCE[5] = 17670</v>
      </c>
      <c r="I7" s="87">
        <v>21.6</v>
      </c>
      <c r="J7" s="87">
        <v>16360</v>
      </c>
      <c r="K7" t="str">
        <f t="shared" si="3"/>
        <v>FREQUENCE[5] = 16360</v>
      </c>
      <c r="L7" s="87">
        <v>20.399999999999999</v>
      </c>
      <c r="M7" s="87">
        <v>16040</v>
      </c>
      <c r="N7" t="str">
        <f t="shared" si="4"/>
        <v>FREQUENCE[5] = 16040</v>
      </c>
      <c r="O7" s="87">
        <v>19.7</v>
      </c>
      <c r="P7" s="87">
        <v>16280</v>
      </c>
      <c r="Q7" t="str">
        <f t="shared" si="5"/>
        <v>FREQUENCE[5] = 16280</v>
      </c>
      <c r="R7" s="150">
        <v>20</v>
      </c>
      <c r="S7" s="146">
        <v>16280</v>
      </c>
      <c r="T7" t="str">
        <f t="shared" si="6"/>
        <v>FREQUENCE[5] = 16280</v>
      </c>
      <c r="U7"/>
      <c r="V7" s="146">
        <v>16280</v>
      </c>
      <c r="W7" t="str">
        <f t="shared" si="7"/>
        <v>FREQUENCE[5] = 16280</v>
      </c>
      <c r="X7" t="str">
        <f t="shared" si="0"/>
        <v>FREQUENCE[5]</v>
      </c>
    </row>
    <row r="8" spans="1:24" s="141" customFormat="1">
      <c r="A8" s="141">
        <v>6</v>
      </c>
      <c r="B8" s="141">
        <v>3500</v>
      </c>
      <c r="C8" s="142">
        <f>(2*formules!$D$3*B8)/(60*formules!$C$3)</f>
        <v>58.333333333333336</v>
      </c>
      <c r="D8" s="149">
        <f>1000*(60*formules!$C$3)/(2*formules!$D$3*B8)</f>
        <v>17.142857142857142</v>
      </c>
      <c r="E8" s="143">
        <f t="shared" si="1"/>
        <v>17142.857142857141</v>
      </c>
      <c r="F8" s="139">
        <v>15600</v>
      </c>
      <c r="G8" s="139">
        <v>15070</v>
      </c>
      <c r="H8" t="str">
        <f t="shared" si="2"/>
        <v>FREQUENCE[6] = 15070</v>
      </c>
      <c r="I8" s="139"/>
      <c r="J8" s="139">
        <v>0</v>
      </c>
      <c r="K8" t="str">
        <f t="shared" si="3"/>
        <v>FREQUENCE[6] = 0</v>
      </c>
      <c r="L8" s="139"/>
      <c r="M8" s="139">
        <v>0</v>
      </c>
      <c r="N8" t="str">
        <f t="shared" si="4"/>
        <v>FREQUENCE[6] = 0</v>
      </c>
      <c r="O8" s="139"/>
      <c r="P8" s="139">
        <v>0</v>
      </c>
      <c r="Q8" t="str">
        <f t="shared" si="5"/>
        <v>FREQUENCE[6] = 0</v>
      </c>
      <c r="R8" s="151"/>
      <c r="S8" s="139">
        <v>0</v>
      </c>
      <c r="T8" t="str">
        <f t="shared" si="6"/>
        <v>FREQUENCE[6] = 0</v>
      </c>
      <c r="U8"/>
      <c r="V8" s="139">
        <v>0</v>
      </c>
      <c r="W8" t="str">
        <f t="shared" si="7"/>
        <v>FREQUENCE[6] = 0</v>
      </c>
      <c r="X8" s="141" t="str">
        <f t="shared" si="0"/>
        <v>FREQUENCE[6]</v>
      </c>
    </row>
    <row r="9" spans="1:24">
      <c r="A9">
        <v>7</v>
      </c>
      <c r="B9">
        <v>4000</v>
      </c>
      <c r="C9" s="136">
        <f>(2*formules!$D$3*B9)/(60*formules!$C$3)</f>
        <v>66.666666666666671</v>
      </c>
      <c r="D9" s="148">
        <f>1000*(60*formules!$C$3)/(2*formules!$D$3*B9)</f>
        <v>15</v>
      </c>
      <c r="E9" s="1">
        <f t="shared" si="1"/>
        <v>15000</v>
      </c>
      <c r="F9" s="87">
        <v>13580</v>
      </c>
      <c r="G9" s="87">
        <v>13100</v>
      </c>
      <c r="H9" t="str">
        <f t="shared" si="2"/>
        <v>FREQUENCE[7] = 13100</v>
      </c>
      <c r="I9" s="87">
        <v>16.600000000000001</v>
      </c>
      <c r="J9" s="87">
        <v>11800</v>
      </c>
      <c r="K9" t="str">
        <f t="shared" si="3"/>
        <v>FREQUENCE[7] = 11800</v>
      </c>
      <c r="L9" s="87">
        <v>15</v>
      </c>
      <c r="M9" s="146">
        <v>11800</v>
      </c>
      <c r="N9" t="str">
        <f t="shared" si="4"/>
        <v>FREQUENCE[7] = 11800</v>
      </c>
      <c r="O9" s="87">
        <v>14.7</v>
      </c>
      <c r="P9" s="87">
        <v>12040</v>
      </c>
      <c r="Q9" t="str">
        <f t="shared" si="5"/>
        <v>FREQUENCE[7] = 12040</v>
      </c>
      <c r="R9" s="150">
        <v>15.3</v>
      </c>
      <c r="S9" s="146">
        <v>11800</v>
      </c>
      <c r="T9" t="str">
        <f t="shared" si="6"/>
        <v>FREQUENCE[7] = 11800</v>
      </c>
      <c r="U9"/>
      <c r="V9" s="146">
        <v>11800</v>
      </c>
      <c r="W9" t="str">
        <f t="shared" si="7"/>
        <v>FREQUENCE[7] = 11800</v>
      </c>
      <c r="X9" t="str">
        <f t="shared" si="0"/>
        <v>FREQUENCE[7]</v>
      </c>
    </row>
    <row r="10" spans="1:24" s="141" customFormat="1">
      <c r="A10" s="141">
        <v>8</v>
      </c>
      <c r="B10" s="141">
        <v>4500</v>
      </c>
      <c r="C10" s="142">
        <f>(2*formules!$D$3*B10)/(60*formules!$C$3)</f>
        <v>75</v>
      </c>
      <c r="D10" s="149">
        <f>1000*(60*formules!$C$3)/(2*formules!$D$3*B10)</f>
        <v>13.333333333333334</v>
      </c>
      <c r="E10" s="143">
        <f t="shared" si="1"/>
        <v>13333.333333333334</v>
      </c>
      <c r="F10" s="139">
        <v>12149</v>
      </c>
      <c r="G10" s="139">
        <v>11610</v>
      </c>
      <c r="H10" t="str">
        <f t="shared" si="2"/>
        <v>FREQUENCE[8] = 11610</v>
      </c>
      <c r="I10" s="139"/>
      <c r="J10" s="139">
        <v>0</v>
      </c>
      <c r="K10" t="str">
        <f t="shared" si="3"/>
        <v>FREQUENCE[8] = 0</v>
      </c>
      <c r="L10" s="139"/>
      <c r="M10" s="139">
        <v>0</v>
      </c>
      <c r="N10" t="str">
        <f t="shared" si="4"/>
        <v>FREQUENCE[8] = 0</v>
      </c>
      <c r="O10" s="139"/>
      <c r="P10" s="139">
        <v>0</v>
      </c>
      <c r="Q10" t="str">
        <f t="shared" si="5"/>
        <v>FREQUENCE[8] = 0</v>
      </c>
      <c r="R10" s="151"/>
      <c r="S10" s="139">
        <v>0</v>
      </c>
      <c r="T10" t="str">
        <f t="shared" si="6"/>
        <v>FREQUENCE[8] = 0</v>
      </c>
      <c r="U10"/>
      <c r="V10" s="139">
        <v>0</v>
      </c>
      <c r="W10" t="str">
        <f t="shared" si="7"/>
        <v>FREQUENCE[8] = 0</v>
      </c>
      <c r="X10" s="141" t="str">
        <f t="shared" si="0"/>
        <v>FREQUENCE[8]</v>
      </c>
    </row>
    <row r="11" spans="1:24">
      <c r="A11">
        <v>9</v>
      </c>
      <c r="B11">
        <v>5000</v>
      </c>
      <c r="C11" s="136">
        <f>(2*formules!$D$3*B11)/(60*formules!$C$3)</f>
        <v>83.333333333333329</v>
      </c>
      <c r="D11" s="148">
        <f>1000*(60*formules!$C$3)/(2*formules!$D$3*B11)</f>
        <v>12</v>
      </c>
      <c r="E11" s="1">
        <f t="shared" si="1"/>
        <v>12000</v>
      </c>
      <c r="F11" s="87">
        <v>10958</v>
      </c>
      <c r="G11" s="87">
        <v>10410</v>
      </c>
      <c r="H11" t="str">
        <f t="shared" si="2"/>
        <v>FREQUENCE[9] = 10410</v>
      </c>
      <c r="I11" s="87">
        <v>13.5</v>
      </c>
      <c r="J11" s="87">
        <v>9200</v>
      </c>
      <c r="K11" t="str">
        <f t="shared" si="3"/>
        <v>FREQUENCE[9] = 9200</v>
      </c>
      <c r="L11" s="87">
        <v>12.2</v>
      </c>
      <c r="M11" s="87">
        <v>9050</v>
      </c>
      <c r="N11" t="str">
        <f t="shared" si="4"/>
        <v>FREQUENCE[9] = 9050</v>
      </c>
      <c r="O11" s="87">
        <v>12</v>
      </c>
      <c r="P11" s="146">
        <v>9050</v>
      </c>
      <c r="Q11" t="str">
        <f t="shared" si="5"/>
        <v>FREQUENCE[9] = 9050</v>
      </c>
      <c r="R11" s="150">
        <v>11.9</v>
      </c>
      <c r="S11" s="87">
        <v>9120</v>
      </c>
      <c r="T11" t="str">
        <f t="shared" si="6"/>
        <v>FREQUENCE[9] = 9120</v>
      </c>
      <c r="U11">
        <v>12</v>
      </c>
      <c r="V11" s="146">
        <v>9120</v>
      </c>
      <c r="W11" t="str">
        <f t="shared" si="7"/>
        <v>FREQUENCE[9] = 9120</v>
      </c>
      <c r="X11" t="str">
        <f t="shared" si="0"/>
        <v>FREQUENCE[9]</v>
      </c>
    </row>
    <row r="12" spans="1:24" s="141" customFormat="1">
      <c r="A12" s="141">
        <v>10</v>
      </c>
      <c r="B12" s="141">
        <v>5500</v>
      </c>
      <c r="C12" s="142">
        <f>(2*formules!$D$3*B12)/(60*formules!$C$3)</f>
        <v>91.666666666666671</v>
      </c>
      <c r="D12" s="149">
        <f>1000*(60*formules!$C$3)/(2*formules!$D$3*B12)</f>
        <v>10.909090909090908</v>
      </c>
      <c r="E12" s="143">
        <f t="shared" si="1"/>
        <v>10909.090909090908</v>
      </c>
      <c r="F12" s="139">
        <v>9980</v>
      </c>
      <c r="G12" s="139">
        <v>9410</v>
      </c>
      <c r="H12" t="str">
        <f t="shared" si="2"/>
        <v>FREQUENCE[10] = 9410</v>
      </c>
      <c r="I12" s="139"/>
      <c r="J12" s="139">
        <v>0</v>
      </c>
      <c r="K12" t="str">
        <f t="shared" si="3"/>
        <v>FREQUENCE[10] = 0</v>
      </c>
      <c r="L12" s="139"/>
      <c r="M12" s="139">
        <v>0</v>
      </c>
      <c r="N12" t="str">
        <f t="shared" si="4"/>
        <v>FREQUENCE[10] = 0</v>
      </c>
      <c r="O12" s="139"/>
      <c r="P12" s="139">
        <v>0</v>
      </c>
      <c r="Q12" t="str">
        <f t="shared" si="5"/>
        <v>FREQUENCE[10] = 0</v>
      </c>
      <c r="R12" s="151"/>
      <c r="S12" s="139">
        <v>0</v>
      </c>
      <c r="T12" t="str">
        <f t="shared" si="6"/>
        <v>FREQUENCE[10] = 0</v>
      </c>
      <c r="U12"/>
      <c r="V12" s="139">
        <v>0</v>
      </c>
      <c r="W12" t="str">
        <f t="shared" si="7"/>
        <v>FREQUENCE[10] = 0</v>
      </c>
      <c r="X12" s="141" t="str">
        <f t="shared" si="0"/>
        <v>FREQUENCE[10]</v>
      </c>
    </row>
    <row r="13" spans="1:24">
      <c r="A13">
        <v>11</v>
      </c>
      <c r="B13">
        <v>6000</v>
      </c>
      <c r="C13" s="136">
        <f>(2*formules!$D$3*B13)/(60*formules!$C$3)</f>
        <v>100</v>
      </c>
      <c r="D13" s="148">
        <f>1000*(60*formules!$C$3)/(2*formules!$D$3*B13)</f>
        <v>10</v>
      </c>
      <c r="E13" s="1">
        <f t="shared" si="1"/>
        <v>10000</v>
      </c>
      <c r="F13" s="87">
        <v>9136</v>
      </c>
      <c r="G13" s="87">
        <v>8580</v>
      </c>
      <c r="H13" t="str">
        <f t="shared" si="2"/>
        <v>FREQUENCE[11] = 8580</v>
      </c>
      <c r="I13" s="87">
        <v>11.6</v>
      </c>
      <c r="J13" s="87">
        <v>7400</v>
      </c>
      <c r="K13" t="str">
        <f t="shared" si="3"/>
        <v>FREQUENCE[11] = 7400</v>
      </c>
      <c r="L13" s="87">
        <v>10.3</v>
      </c>
      <c r="M13" s="87">
        <v>7180</v>
      </c>
      <c r="N13" t="str">
        <f t="shared" si="4"/>
        <v>FREQUENCE[11] = 7180</v>
      </c>
      <c r="O13" s="87">
        <v>9.9</v>
      </c>
      <c r="P13" s="87">
        <v>7250</v>
      </c>
      <c r="Q13" t="str">
        <f t="shared" si="5"/>
        <v>FREQUENCE[11] = 7250</v>
      </c>
      <c r="R13" s="150">
        <v>10</v>
      </c>
      <c r="S13" s="146">
        <v>7250</v>
      </c>
      <c r="T13" t="str">
        <f t="shared" si="6"/>
        <v>FREQUENCE[11] = 7250</v>
      </c>
      <c r="U13"/>
      <c r="V13" s="146">
        <v>7250</v>
      </c>
      <c r="W13" t="str">
        <f t="shared" si="7"/>
        <v>FREQUENCE[11] = 7250</v>
      </c>
      <c r="X13" t="str">
        <f t="shared" si="0"/>
        <v>FREQUENCE[11]</v>
      </c>
    </row>
    <row r="14" spans="1:24" s="141" customFormat="1">
      <c r="A14" s="141">
        <v>12</v>
      </c>
      <c r="B14" s="141">
        <v>6500</v>
      </c>
      <c r="C14" s="142">
        <f>(2*formules!$D$3*B14)/(60*formules!$C$3)</f>
        <v>108.33333333333333</v>
      </c>
      <c r="D14" s="149">
        <f>1000*(60*formules!$C$3)/(2*formules!$D$3*B14)</f>
        <v>9.2307692307692299</v>
      </c>
      <c r="E14" s="143">
        <f t="shared" si="1"/>
        <v>9230.7692307692305</v>
      </c>
      <c r="F14" s="139">
        <v>8408</v>
      </c>
      <c r="G14" s="139">
        <v>7900</v>
      </c>
      <c r="H14" t="str">
        <f t="shared" si="2"/>
        <v>FREQUENCE[12] = 7900</v>
      </c>
      <c r="I14" s="139"/>
      <c r="J14" s="139">
        <v>0</v>
      </c>
      <c r="K14" t="str">
        <f t="shared" si="3"/>
        <v>FREQUENCE[12] = 0</v>
      </c>
      <c r="L14" s="139"/>
      <c r="M14" s="139">
        <v>0</v>
      </c>
      <c r="N14" t="str">
        <f t="shared" si="4"/>
        <v>FREQUENCE[12] = 0</v>
      </c>
      <c r="O14" s="139"/>
      <c r="P14" s="139">
        <v>0</v>
      </c>
      <c r="Q14" t="str">
        <f t="shared" si="5"/>
        <v>FREQUENCE[12] = 0</v>
      </c>
      <c r="R14" s="151"/>
      <c r="S14" s="139">
        <v>0</v>
      </c>
      <c r="T14" t="str">
        <f t="shared" si="6"/>
        <v>FREQUENCE[12] = 0</v>
      </c>
      <c r="U14"/>
      <c r="V14" s="139">
        <v>0</v>
      </c>
      <c r="W14" t="str">
        <f t="shared" si="7"/>
        <v>FREQUENCE[12] = 0</v>
      </c>
      <c r="X14" s="141" t="str">
        <f t="shared" si="0"/>
        <v>FREQUENCE[12]</v>
      </c>
    </row>
    <row r="15" spans="1:24">
      <c r="A15">
        <v>13</v>
      </c>
      <c r="B15">
        <v>7000</v>
      </c>
      <c r="C15" s="136">
        <f>(2*formules!$D$3*B15)/(60*formules!$C$3)</f>
        <v>116.66666666666667</v>
      </c>
      <c r="D15" s="148">
        <f>1000*(60*formules!$C$3)/(2*formules!$D$3*B15)</f>
        <v>8.5714285714285712</v>
      </c>
      <c r="E15" s="1">
        <f t="shared" si="1"/>
        <v>8571.4285714285706</v>
      </c>
      <c r="F15" s="87">
        <v>7730</v>
      </c>
      <c r="G15" s="87">
        <v>7280</v>
      </c>
      <c r="H15" t="str">
        <f t="shared" si="2"/>
        <v>FREQUENCE[13] = 7280</v>
      </c>
      <c r="I15" s="87">
        <v>10.1</v>
      </c>
      <c r="J15" s="87">
        <v>6100</v>
      </c>
      <c r="K15" t="str">
        <f t="shared" si="3"/>
        <v>FREQUENCE[13] = 6100</v>
      </c>
      <c r="L15" s="87">
        <v>8.8000000000000007</v>
      </c>
      <c r="M15" s="87">
        <v>5950</v>
      </c>
      <c r="N15" t="str">
        <f t="shared" si="4"/>
        <v>FREQUENCE[13] = 5950</v>
      </c>
      <c r="O15" s="87">
        <v>8.6</v>
      </c>
      <c r="P15" s="146">
        <v>5950</v>
      </c>
      <c r="Q15" t="str">
        <f t="shared" si="5"/>
        <v>FREQUENCE[13] = 5950</v>
      </c>
      <c r="R15" s="150">
        <v>8.5</v>
      </c>
      <c r="S15" s="87">
        <v>6000</v>
      </c>
      <c r="T15" t="str">
        <f t="shared" si="6"/>
        <v>FREQUENCE[13] = 6000</v>
      </c>
      <c r="U15">
        <v>8.6</v>
      </c>
      <c r="V15" s="146">
        <v>6000</v>
      </c>
      <c r="W15" t="str">
        <f t="shared" si="7"/>
        <v>FREQUENCE[13] = 6000</v>
      </c>
      <c r="X15" t="str">
        <f t="shared" si="0"/>
        <v>FREQUENCE[13]</v>
      </c>
    </row>
    <row r="16" spans="1:24" s="141" customFormat="1">
      <c r="A16" s="141">
        <v>14</v>
      </c>
      <c r="B16" s="141">
        <v>7500</v>
      </c>
      <c r="C16" s="142">
        <f>(2*formules!$D$3*B16)/(60*formules!$C$3)</f>
        <v>125</v>
      </c>
      <c r="D16" s="149">
        <f>1000*(60*formules!$C$3)/(2*formules!$D$3*B16)</f>
        <v>8</v>
      </c>
      <c r="E16" s="143">
        <f t="shared" si="1"/>
        <v>8000</v>
      </c>
      <c r="F16" s="139">
        <v>7310</v>
      </c>
      <c r="G16" s="139">
        <v>6760</v>
      </c>
      <c r="H16" t="str">
        <f t="shared" si="2"/>
        <v>FREQUENCE[14] = 6760</v>
      </c>
      <c r="I16" s="139"/>
      <c r="J16" s="139">
        <v>0</v>
      </c>
      <c r="K16" t="str">
        <f t="shared" si="3"/>
        <v>FREQUENCE[14] = 0</v>
      </c>
      <c r="L16" s="139"/>
      <c r="M16" s="139">
        <v>0</v>
      </c>
      <c r="N16" t="str">
        <f t="shared" si="4"/>
        <v>FREQUENCE[14] = 0</v>
      </c>
      <c r="O16" s="139"/>
      <c r="P16" s="139">
        <v>0</v>
      </c>
      <c r="Q16" t="str">
        <f t="shared" si="5"/>
        <v>FREQUENCE[14] = 0</v>
      </c>
      <c r="R16" s="151"/>
      <c r="S16" s="139">
        <v>0</v>
      </c>
      <c r="T16" t="str">
        <f t="shared" si="6"/>
        <v>FREQUENCE[14] = 0</v>
      </c>
      <c r="U16"/>
      <c r="V16" s="139">
        <v>0</v>
      </c>
      <c r="W16" t="str">
        <f t="shared" si="7"/>
        <v>FREQUENCE[14] = 0</v>
      </c>
      <c r="X16" s="141" t="str">
        <f t="shared" si="0"/>
        <v>FREQUENCE[14]</v>
      </c>
    </row>
    <row r="17" spans="1:24">
      <c r="A17">
        <v>15</v>
      </c>
      <c r="B17">
        <v>8000</v>
      </c>
      <c r="C17" s="136">
        <f>(2*formules!$D$3*B17)/(60*formules!$C$3)</f>
        <v>133.33333333333334</v>
      </c>
      <c r="D17" s="148">
        <f>1000*(60*formules!$C$3)/(2*formules!$D$3*B17)</f>
        <v>7.5</v>
      </c>
      <c r="E17" s="1">
        <f t="shared" si="1"/>
        <v>7500</v>
      </c>
      <c r="F17" s="87">
        <v>6850</v>
      </c>
      <c r="G17" s="87">
        <v>6310</v>
      </c>
      <c r="H17" t="str">
        <f t="shared" si="2"/>
        <v>FREQUENCE[15] = 6310</v>
      </c>
      <c r="I17" s="87">
        <v>9</v>
      </c>
      <c r="J17" s="87">
        <v>5260</v>
      </c>
      <c r="K17" t="str">
        <f t="shared" si="3"/>
        <v>FREQUENCE[15] = 5260</v>
      </c>
      <c r="L17" s="87">
        <v>7.8</v>
      </c>
      <c r="M17" s="87">
        <v>5060</v>
      </c>
      <c r="N17" t="str">
        <f t="shared" si="4"/>
        <v>FREQUENCE[15] = 5060</v>
      </c>
      <c r="O17" s="87">
        <v>7.5</v>
      </c>
      <c r="P17" s="146">
        <v>5060</v>
      </c>
      <c r="Q17" t="str">
        <f t="shared" si="5"/>
        <v>FREQUENCE[15] = 5060</v>
      </c>
      <c r="R17" s="150">
        <v>7.5</v>
      </c>
      <c r="S17" s="146">
        <v>5060</v>
      </c>
      <c r="T17" t="str">
        <f t="shared" si="6"/>
        <v>FREQUENCE[15] = 5060</v>
      </c>
      <c r="U17">
        <v>7.48</v>
      </c>
      <c r="V17" s="146">
        <v>5060</v>
      </c>
      <c r="W17" t="str">
        <f t="shared" si="7"/>
        <v>FREQUENCE[15] = 5060</v>
      </c>
      <c r="X17" t="str">
        <f t="shared" si="0"/>
        <v>FREQUENCE[15]</v>
      </c>
    </row>
    <row r="18" spans="1:24" s="141" customFormat="1">
      <c r="A18" s="141">
        <v>16</v>
      </c>
      <c r="B18" s="141">
        <v>8500</v>
      </c>
      <c r="C18" s="142">
        <f>(2*formules!$D$3*B18)/(60*formules!$C$3)</f>
        <v>141.66666666666666</v>
      </c>
      <c r="D18" s="149">
        <f>1000*(60*formules!$C$3)/(2*formules!$D$3*B18)</f>
        <v>7.0588235294117645</v>
      </c>
      <c r="E18" s="143">
        <f t="shared" si="1"/>
        <v>7058.8235294117649</v>
      </c>
      <c r="F18" s="139">
        <v>6435</v>
      </c>
      <c r="G18" s="139">
        <v>5900</v>
      </c>
      <c r="H18" t="str">
        <f t="shared" si="2"/>
        <v>FREQUENCE[16] = 5900</v>
      </c>
      <c r="I18" s="139"/>
      <c r="J18" s="139">
        <v>0</v>
      </c>
      <c r="K18" t="str">
        <f t="shared" si="3"/>
        <v>FREQUENCE[16] = 0</v>
      </c>
      <c r="L18" s="139"/>
      <c r="M18" s="139">
        <v>0</v>
      </c>
      <c r="N18" t="str">
        <f t="shared" si="4"/>
        <v>FREQUENCE[16] = 0</v>
      </c>
      <c r="O18" s="139"/>
      <c r="P18" s="139">
        <v>0</v>
      </c>
      <c r="Q18" t="str">
        <f t="shared" si="5"/>
        <v>FREQUENCE[16] = 0</v>
      </c>
      <c r="R18" s="151"/>
      <c r="S18" s="139">
        <v>0</v>
      </c>
      <c r="T18" t="str">
        <f t="shared" si="6"/>
        <v>FREQUENCE[16] = 0</v>
      </c>
      <c r="U18"/>
      <c r="V18" s="139">
        <v>0</v>
      </c>
      <c r="W18" t="str">
        <f t="shared" si="7"/>
        <v>FREQUENCE[16] = 0</v>
      </c>
      <c r="X18" s="141" t="str">
        <f t="shared" si="0"/>
        <v>FREQUENCE[16]</v>
      </c>
    </row>
    <row r="19" spans="1:24">
      <c r="A19">
        <v>17</v>
      </c>
      <c r="B19">
        <v>9000</v>
      </c>
      <c r="C19" s="136">
        <f>(2*formules!$D$3*B19)/(60*formules!$C$3)</f>
        <v>150</v>
      </c>
      <c r="D19" s="148">
        <f>1000*(60*formules!$C$3)/(2*formules!$D$3*B19)</f>
        <v>6.666666666666667</v>
      </c>
      <c r="E19" s="1">
        <f t="shared" si="1"/>
        <v>6666.666666666667</v>
      </c>
      <c r="F19" s="87">
        <v>6100</v>
      </c>
      <c r="G19" s="87">
        <v>5550</v>
      </c>
      <c r="H19" t="str">
        <f t="shared" si="2"/>
        <v>FREQUENCE[17] = 5550</v>
      </c>
      <c r="I19" s="87">
        <v>8.1</v>
      </c>
      <c r="J19" s="87">
        <v>4600</v>
      </c>
      <c r="K19" t="str">
        <f t="shared" si="3"/>
        <v>FREQUENCE[17] = 4600</v>
      </c>
      <c r="L19" s="87">
        <v>7.1</v>
      </c>
      <c r="M19" s="87">
        <v>4340</v>
      </c>
      <c r="N19" t="str">
        <f t="shared" si="4"/>
        <v>FREQUENCE[17] = 4340</v>
      </c>
      <c r="O19" s="87">
        <v>6.8</v>
      </c>
      <c r="P19" s="87">
        <v>5890</v>
      </c>
      <c r="Q19" t="str">
        <f t="shared" si="5"/>
        <v>FREQUENCE[17] = 5890</v>
      </c>
      <c r="R19" s="150">
        <v>8.5</v>
      </c>
      <c r="S19" s="87">
        <v>4500</v>
      </c>
      <c r="T19" t="str">
        <f t="shared" si="6"/>
        <v>FREQUENCE[17] = 4500</v>
      </c>
      <c r="U19">
        <v>6.88</v>
      </c>
      <c r="V19" s="87">
        <v>4320</v>
      </c>
      <c r="W19" t="str">
        <f t="shared" si="7"/>
        <v>FREQUENCE[17] = 4320</v>
      </c>
      <c r="X19" t="str">
        <f t="shared" si="0"/>
        <v>FREQUENCE[17]</v>
      </c>
    </row>
    <row r="20" spans="1:24" s="141" customFormat="1">
      <c r="A20" s="141">
        <v>18</v>
      </c>
      <c r="B20" s="141">
        <v>9500</v>
      </c>
      <c r="C20" s="142">
        <f>(2*formules!$D$3*B20)/(60*formules!$C$3)</f>
        <v>158.33333333333334</v>
      </c>
      <c r="D20" s="149">
        <f>1000*(60*formules!$C$3)/(2*formules!$D$3*B20)</f>
        <v>6.3157894736842106</v>
      </c>
      <c r="E20" s="143">
        <f t="shared" si="1"/>
        <v>6315.7894736842109</v>
      </c>
      <c r="F20" s="139">
        <v>5770</v>
      </c>
      <c r="G20" s="139">
        <v>5230</v>
      </c>
      <c r="H20" t="str">
        <f t="shared" si="2"/>
        <v>FREQUENCE[18] = 5230</v>
      </c>
      <c r="I20" s="139"/>
      <c r="J20" s="139">
        <v>0</v>
      </c>
      <c r="K20" t="str">
        <f t="shared" si="3"/>
        <v>FREQUENCE[18] = 0</v>
      </c>
      <c r="L20" s="139"/>
      <c r="M20" s="139">
        <v>0</v>
      </c>
      <c r="N20" t="str">
        <f t="shared" si="4"/>
        <v>FREQUENCE[18] = 0</v>
      </c>
      <c r="O20" s="139"/>
      <c r="P20" s="139">
        <v>0</v>
      </c>
      <c r="Q20" t="str">
        <f t="shared" si="5"/>
        <v>FREQUENCE[18] = 0</v>
      </c>
      <c r="R20" s="151"/>
      <c r="S20" s="139">
        <v>0</v>
      </c>
      <c r="T20" t="str">
        <f t="shared" si="6"/>
        <v>FREQUENCE[18] = 0</v>
      </c>
      <c r="U20"/>
      <c r="V20" s="139">
        <v>0</v>
      </c>
      <c r="W20" t="str">
        <f t="shared" si="7"/>
        <v>FREQUENCE[18] = 0</v>
      </c>
      <c r="X20" s="141" t="str">
        <f t="shared" si="0"/>
        <v>FREQUENCE[18]</v>
      </c>
    </row>
    <row r="21" spans="1:24">
      <c r="A21">
        <v>19</v>
      </c>
      <c r="B21">
        <v>10000</v>
      </c>
      <c r="C21" s="136">
        <f>(2*formules!$D$3*B21)/(60*formules!$C$3)</f>
        <v>166.66666666666666</v>
      </c>
      <c r="D21" s="148">
        <f>1000*(60*formules!$C$3)/(2*formules!$D$3*B21)</f>
        <v>6</v>
      </c>
      <c r="E21" s="1">
        <f t="shared" si="1"/>
        <v>6000</v>
      </c>
      <c r="F21" s="87">
        <v>5490</v>
      </c>
      <c r="G21" s="87">
        <v>4950</v>
      </c>
      <c r="H21" t="str">
        <f t="shared" si="2"/>
        <v>FREQUENCE[19] = 4950</v>
      </c>
      <c r="I21" s="87">
        <v>7.5</v>
      </c>
      <c r="J21" s="87">
        <v>3960</v>
      </c>
      <c r="K21" t="str">
        <f t="shared" si="3"/>
        <v>FREQUENCE[19] = 3960</v>
      </c>
      <c r="L21" s="87">
        <v>6.3</v>
      </c>
      <c r="M21" s="87">
        <v>3760</v>
      </c>
      <c r="N21" t="str">
        <f t="shared" si="4"/>
        <v>FREQUENCE[19] = 3760</v>
      </c>
      <c r="O21" s="87">
        <v>6.1</v>
      </c>
      <c r="P21" s="87">
        <v>3680</v>
      </c>
      <c r="Q21" t="str">
        <f t="shared" si="5"/>
        <v>FREQUENCE[19] = 3680</v>
      </c>
      <c r="R21" s="150">
        <v>6</v>
      </c>
      <c r="S21" s="146">
        <v>3680</v>
      </c>
      <c r="T21" t="str">
        <f t="shared" si="6"/>
        <v>FREQUENCE[19] = 3680</v>
      </c>
      <c r="U21">
        <v>5.96</v>
      </c>
      <c r="V21" s="146">
        <v>3680</v>
      </c>
      <c r="W21" t="str">
        <f t="shared" si="7"/>
        <v>FREQUENCE[19] = 3680</v>
      </c>
      <c r="X21" t="str">
        <f t="shared" si="0"/>
        <v>FREQUENCE[19]</v>
      </c>
    </row>
    <row r="22" spans="1:24" s="141" customFormat="1">
      <c r="A22" s="141">
        <v>20</v>
      </c>
      <c r="B22" s="141">
        <v>10500</v>
      </c>
      <c r="C22" s="142">
        <f>(2*formules!$D$3*B22)/(60*formules!$C$3)</f>
        <v>175</v>
      </c>
      <c r="D22" s="149">
        <f>1000*(60*formules!$C$3)/(2*formules!$D$3*B22)</f>
        <v>5.7142857142857144</v>
      </c>
      <c r="E22" s="143">
        <f t="shared" si="1"/>
        <v>5714.2857142857147</v>
      </c>
      <c r="F22" s="139">
        <v>5220</v>
      </c>
      <c r="G22" s="139">
        <v>4680</v>
      </c>
      <c r="H22" t="str">
        <f t="shared" si="2"/>
        <v>FREQUENCE[20] = 4680</v>
      </c>
      <c r="I22" s="139"/>
      <c r="J22" s="139">
        <v>0</v>
      </c>
      <c r="K22" t="str">
        <f t="shared" si="3"/>
        <v>FREQUENCE[20] = 0</v>
      </c>
      <c r="L22" s="139"/>
      <c r="M22" s="139">
        <v>0</v>
      </c>
      <c r="N22" t="str">
        <f t="shared" si="4"/>
        <v>FREQUENCE[20] = 0</v>
      </c>
      <c r="O22" s="139"/>
      <c r="P22" s="139">
        <v>0</v>
      </c>
      <c r="Q22" t="str">
        <f t="shared" si="5"/>
        <v>FREQUENCE[20] = 0</v>
      </c>
      <c r="R22" s="151"/>
      <c r="S22" s="139">
        <v>0</v>
      </c>
      <c r="T22" t="str">
        <f t="shared" si="6"/>
        <v>FREQUENCE[20] = 0</v>
      </c>
      <c r="U22"/>
      <c r="V22" s="139">
        <v>0</v>
      </c>
      <c r="W22" t="str">
        <f t="shared" si="7"/>
        <v>FREQUENCE[20] = 0</v>
      </c>
      <c r="X22" s="141" t="str">
        <f t="shared" si="0"/>
        <v>FREQUENCE[20]</v>
      </c>
    </row>
    <row r="23" spans="1:24">
      <c r="A23">
        <v>21</v>
      </c>
      <c r="B23">
        <v>11000</v>
      </c>
      <c r="C23" s="136">
        <f>(2*formules!$D$3*B23)/(60*formules!$C$3)</f>
        <v>183.33333333333334</v>
      </c>
      <c r="D23" s="148">
        <f>1000*(60*formules!$C$3)/(2*formules!$D$3*B23)</f>
        <v>5.4545454545454541</v>
      </c>
      <c r="E23" s="1">
        <f t="shared" si="1"/>
        <v>5454.545454545454</v>
      </c>
      <c r="F23" s="87">
        <v>4990</v>
      </c>
      <c r="G23" s="87">
        <v>4440</v>
      </c>
      <c r="H23" t="str">
        <f t="shared" si="2"/>
        <v>FREQUENCE[21] = 4440</v>
      </c>
      <c r="I23" s="87">
        <v>7</v>
      </c>
      <c r="J23" s="87">
        <v>3500</v>
      </c>
      <c r="K23" t="str">
        <f t="shared" si="3"/>
        <v>FREQUENCE[21] = 3500</v>
      </c>
      <c r="L23" s="87">
        <v>5.9</v>
      </c>
      <c r="M23" s="87">
        <v>3220</v>
      </c>
      <c r="N23" t="str">
        <f t="shared" si="4"/>
        <v>FREQUENCE[21] = 3220</v>
      </c>
      <c r="O23" s="87">
        <v>5.5</v>
      </c>
      <c r="P23" s="146">
        <v>3220</v>
      </c>
      <c r="Q23" t="str">
        <f t="shared" si="5"/>
        <v>FREQUENCE[21] = 3220</v>
      </c>
      <c r="R23" s="150">
        <v>5.5</v>
      </c>
      <c r="S23" s="146">
        <v>3220</v>
      </c>
      <c r="T23" t="str">
        <f t="shared" si="6"/>
        <v>FREQUENCE[21] = 3220</v>
      </c>
      <c r="U23">
        <v>5.52</v>
      </c>
      <c r="V23" s="146">
        <v>3220</v>
      </c>
      <c r="W23" t="str">
        <f t="shared" si="7"/>
        <v>FREQUENCE[21] = 3220</v>
      </c>
      <c r="X23" t="str">
        <f t="shared" si="0"/>
        <v>FREQUENCE[21]</v>
      </c>
    </row>
    <row r="24" spans="1:24" s="141" customFormat="1">
      <c r="A24" s="141">
        <v>22</v>
      </c>
      <c r="B24" s="141">
        <v>11500</v>
      </c>
      <c r="C24" s="142">
        <f>(2*formules!$D$3*B24)/(60*formules!$C$3)</f>
        <v>191.66666666666666</v>
      </c>
      <c r="D24" s="149">
        <f>1000*(60*formules!$C$3)/(2*formules!$D$3*B24)</f>
        <v>5.2173913043478262</v>
      </c>
      <c r="E24" s="143">
        <f t="shared" si="1"/>
        <v>5217.391304347826</v>
      </c>
      <c r="F24" s="139">
        <v>4780</v>
      </c>
      <c r="G24" s="139">
        <v>4230</v>
      </c>
      <c r="H24" t="str">
        <f t="shared" si="2"/>
        <v>FREQUENCE[22] = 4230</v>
      </c>
      <c r="I24" s="139"/>
      <c r="J24" s="139">
        <v>0</v>
      </c>
      <c r="K24" t="str">
        <f t="shared" si="3"/>
        <v>FREQUENCE[22] = 0</v>
      </c>
      <c r="L24" s="139"/>
      <c r="M24" s="139">
        <v>0</v>
      </c>
      <c r="N24" t="str">
        <f t="shared" si="4"/>
        <v>FREQUENCE[22] = 0</v>
      </c>
      <c r="O24" s="139"/>
      <c r="P24" s="139">
        <v>0</v>
      </c>
      <c r="Q24" t="str">
        <f t="shared" si="5"/>
        <v>FREQUENCE[22] = 0</v>
      </c>
      <c r="R24" s="151"/>
      <c r="S24" s="139">
        <v>0</v>
      </c>
      <c r="T24" t="str">
        <f t="shared" si="6"/>
        <v>FREQUENCE[22] = 0</v>
      </c>
      <c r="U24"/>
      <c r="V24" s="139">
        <v>0</v>
      </c>
      <c r="W24" t="str">
        <f t="shared" si="7"/>
        <v>FREQUENCE[22] = 0</v>
      </c>
      <c r="X24" s="141" t="str">
        <f t="shared" si="0"/>
        <v>FREQUENCE[22]</v>
      </c>
    </row>
    <row r="25" spans="1:24">
      <c r="A25">
        <v>23</v>
      </c>
      <c r="B25">
        <v>12000</v>
      </c>
      <c r="C25" s="136">
        <f>(2*formules!$D$3*B25)/(60*formules!$C$3)</f>
        <v>200</v>
      </c>
      <c r="D25" s="148">
        <f>1000*(60*formules!$C$3)/(2*formules!$D$3*B25)</f>
        <v>5</v>
      </c>
      <c r="E25" s="1">
        <f t="shared" si="1"/>
        <v>5000</v>
      </c>
      <c r="F25" s="87">
        <v>4380</v>
      </c>
      <c r="G25" s="87">
        <v>4030</v>
      </c>
      <c r="H25" t="str">
        <f t="shared" si="2"/>
        <v>FREQUENCE[23] = 4030</v>
      </c>
      <c r="I25" s="87">
        <v>6.5</v>
      </c>
      <c r="J25" s="87">
        <v>3100</v>
      </c>
      <c r="K25" t="str">
        <f t="shared" si="3"/>
        <v>FREQUENCE[23] = 3100</v>
      </c>
      <c r="L25" s="87">
        <v>5.3</v>
      </c>
      <c r="M25" s="87">
        <v>2900</v>
      </c>
      <c r="N25" t="str">
        <f t="shared" si="4"/>
        <v>FREQUENCE[23] = 2900</v>
      </c>
      <c r="O25" s="87">
        <v>5.2</v>
      </c>
      <c r="P25" s="87">
        <v>2760</v>
      </c>
      <c r="Q25" t="str">
        <f t="shared" si="5"/>
        <v>FREQUENCE[23] = 2760</v>
      </c>
      <c r="R25" s="150">
        <v>5</v>
      </c>
      <c r="S25" s="146">
        <v>2760</v>
      </c>
      <c r="T25" t="str">
        <f t="shared" si="6"/>
        <v>FREQUENCE[23] = 2760</v>
      </c>
      <c r="U25">
        <v>4.96</v>
      </c>
      <c r="V25" s="146">
        <v>2760</v>
      </c>
      <c r="W25" t="str">
        <f t="shared" si="7"/>
        <v>FREQUENCE[23] = 2760</v>
      </c>
      <c r="X25" t="str">
        <f t="shared" si="0"/>
        <v>FREQUENCE[23]</v>
      </c>
    </row>
    <row r="26" spans="1:24" s="141" customFormat="1">
      <c r="A26" s="141">
        <v>24</v>
      </c>
      <c r="B26" s="141">
        <v>12500</v>
      </c>
      <c r="C26" s="142">
        <f>(2*formules!$D$3*B26)/(60*formules!$C$3)</f>
        <v>208.33333333333334</v>
      </c>
      <c r="D26" s="149">
        <f>1000*(60*formules!$C$3)/(2*formules!$D$3*B26)</f>
        <v>4.8</v>
      </c>
      <c r="E26" s="143">
        <f t="shared" si="1"/>
        <v>4800</v>
      </c>
      <c r="F26" s="139">
        <v>4390</v>
      </c>
      <c r="G26" s="139">
        <v>3870</v>
      </c>
      <c r="H26" t="str">
        <f t="shared" si="2"/>
        <v>FREQUENCE[24] = 3870</v>
      </c>
      <c r="I26" s="139"/>
      <c r="J26" s="139">
        <v>0</v>
      </c>
      <c r="K26" t="str">
        <f t="shared" si="3"/>
        <v>FREQUENCE[24] = 0</v>
      </c>
      <c r="L26" s="139"/>
      <c r="M26" s="139">
        <v>0</v>
      </c>
      <c r="N26" t="str">
        <f t="shared" si="4"/>
        <v>FREQUENCE[24] = 0</v>
      </c>
      <c r="O26" s="139"/>
      <c r="P26" s="139">
        <v>0</v>
      </c>
      <c r="Q26" t="str">
        <f t="shared" si="5"/>
        <v>FREQUENCE[24] = 0</v>
      </c>
      <c r="R26" s="151"/>
      <c r="S26" s="139">
        <v>0</v>
      </c>
      <c r="T26" t="str">
        <f t="shared" si="6"/>
        <v>FREQUENCE[24] = 0</v>
      </c>
      <c r="U26"/>
      <c r="V26" s="139">
        <v>0</v>
      </c>
      <c r="W26" t="str">
        <f t="shared" si="7"/>
        <v>FREQUENCE[24] = 0</v>
      </c>
      <c r="X26" s="141" t="str">
        <f t="shared" si="0"/>
        <v>FREQUENCE[24]</v>
      </c>
    </row>
    <row r="27" spans="1:24">
      <c r="A27">
        <v>25</v>
      </c>
      <c r="B27">
        <v>13000</v>
      </c>
      <c r="C27" s="136">
        <f>(2*formules!$D$3*B27)/(60*formules!$C$3)</f>
        <v>216.66666666666666</v>
      </c>
      <c r="D27" s="148">
        <f>1000*(60*formules!$C$3)/(2*formules!$D$3*B27)</f>
        <v>4.615384615384615</v>
      </c>
      <c r="E27" s="1">
        <f t="shared" si="1"/>
        <v>4615.3846153846152</v>
      </c>
      <c r="G27" s="87">
        <v>3680</v>
      </c>
      <c r="H27" t="str">
        <f t="shared" si="2"/>
        <v>FREQUENCE[25] = 3680</v>
      </c>
      <c r="I27" s="87">
        <v>6.1</v>
      </c>
      <c r="J27" s="87">
        <v>2770</v>
      </c>
      <c r="K27" t="str">
        <f t="shared" si="3"/>
        <v>FREQUENCE[25] = 2770</v>
      </c>
      <c r="L27" s="87">
        <v>5</v>
      </c>
      <c r="M27" s="87">
        <v>2500</v>
      </c>
      <c r="N27" t="str">
        <f t="shared" si="4"/>
        <v>FREQUENCE[25] = 2500</v>
      </c>
      <c r="O27" s="87">
        <v>4.5999999999999996</v>
      </c>
      <c r="P27" s="146">
        <v>2500</v>
      </c>
      <c r="Q27" t="str">
        <f t="shared" si="5"/>
        <v>FREQUENCE[25] = 2500</v>
      </c>
      <c r="R27" s="150">
        <v>4.7</v>
      </c>
      <c r="S27" s="87">
        <v>2450</v>
      </c>
      <c r="T27" t="str">
        <f t="shared" si="6"/>
        <v>FREQUENCE[25] = 2450</v>
      </c>
      <c r="U27">
        <v>4.5999999999999996</v>
      </c>
      <c r="V27" s="146">
        <v>2450</v>
      </c>
      <c r="W27" t="str">
        <f t="shared" si="7"/>
        <v>FREQUENCE[25] = 2450</v>
      </c>
      <c r="X27" t="str">
        <f t="shared" si="0"/>
        <v>FREQUENCE[25]</v>
      </c>
    </row>
    <row r="28" spans="1:24" s="141" customFormat="1">
      <c r="A28" s="141">
        <v>26</v>
      </c>
      <c r="B28" s="141">
        <v>13500</v>
      </c>
      <c r="C28" s="142">
        <f>(2*formules!$D$3*B28)/(60*formules!$C$3)</f>
        <v>225</v>
      </c>
      <c r="D28" s="149">
        <f>1000*(60*formules!$C$3)/(2*formules!$D$3*B28)</f>
        <v>4.4444444444444446</v>
      </c>
      <c r="E28" s="143">
        <f t="shared" si="1"/>
        <v>4444.4444444444443</v>
      </c>
      <c r="F28" s="139"/>
      <c r="G28" s="139">
        <v>3530</v>
      </c>
      <c r="H28" t="str">
        <f t="shared" si="2"/>
        <v>FREQUENCE[26] = 3530</v>
      </c>
      <c r="I28" s="139"/>
      <c r="J28" s="139">
        <v>0</v>
      </c>
      <c r="K28" t="str">
        <f t="shared" si="3"/>
        <v>FREQUENCE[26] = 0</v>
      </c>
      <c r="L28" s="139"/>
      <c r="M28" s="139">
        <v>0</v>
      </c>
      <c r="N28" t="str">
        <f t="shared" si="4"/>
        <v>FREQUENCE[26] = 0</v>
      </c>
      <c r="O28" s="139"/>
      <c r="P28" s="139">
        <v>0</v>
      </c>
      <c r="Q28" t="str">
        <f t="shared" si="5"/>
        <v>FREQUENCE[26] = 0</v>
      </c>
      <c r="R28" s="151"/>
      <c r="S28" s="139">
        <v>0</v>
      </c>
      <c r="T28" t="str">
        <f t="shared" si="6"/>
        <v>FREQUENCE[26] = 0</v>
      </c>
      <c r="U28"/>
      <c r="V28" s="139">
        <v>0</v>
      </c>
      <c r="W28" t="str">
        <f t="shared" si="7"/>
        <v>FREQUENCE[26] = 0</v>
      </c>
      <c r="X28" s="141" t="str">
        <f t="shared" si="0"/>
        <v>FREQUENCE[26]</v>
      </c>
    </row>
    <row r="29" spans="1:24">
      <c r="A29">
        <v>27</v>
      </c>
      <c r="B29">
        <v>14000</v>
      </c>
      <c r="C29" s="136">
        <f>(2*formules!$D$3*B29)/(60*formules!$C$3)</f>
        <v>233.33333333333334</v>
      </c>
      <c r="D29" s="148">
        <f>1000*(60*formules!$C$3)/(2*formules!$D$3*B29)</f>
        <v>4.2857142857142856</v>
      </c>
      <c r="E29" s="1">
        <f t="shared" si="1"/>
        <v>4285.7142857142853</v>
      </c>
      <c r="G29" s="87">
        <v>3380</v>
      </c>
      <c r="H29" t="str">
        <f t="shared" si="2"/>
        <v>FREQUENCE[27] = 3380</v>
      </c>
      <c r="I29" s="87">
        <v>5.8</v>
      </c>
      <c r="J29" s="87">
        <v>2500</v>
      </c>
      <c r="K29" t="str">
        <f t="shared" si="3"/>
        <v>FREQUENCE[27] = 2500</v>
      </c>
      <c r="L29" s="87">
        <v>4.7</v>
      </c>
      <c r="M29" s="87">
        <v>2250</v>
      </c>
      <c r="N29" t="str">
        <f t="shared" si="4"/>
        <v>FREQUENCE[27] = 2250</v>
      </c>
      <c r="O29" s="87">
        <v>4.4000000000000004</v>
      </c>
      <c r="P29" s="87">
        <v>2180</v>
      </c>
      <c r="Q29" t="str">
        <f t="shared" si="5"/>
        <v>FREQUENCE[27] = 2180</v>
      </c>
      <c r="R29" s="150">
        <v>4.3</v>
      </c>
      <c r="S29" s="146">
        <v>2180</v>
      </c>
      <c r="T29" t="str">
        <f t="shared" si="6"/>
        <v>FREQUENCE[27] = 2180</v>
      </c>
      <c r="U29">
        <v>4.32</v>
      </c>
      <c r="V29" s="146">
        <v>2180</v>
      </c>
      <c r="W29" t="str">
        <f t="shared" si="7"/>
        <v>FREQUENCE[27] = 2180</v>
      </c>
      <c r="X29" t="str">
        <f t="shared" si="0"/>
        <v>FREQUENCE[27]</v>
      </c>
    </row>
    <row r="32" spans="1:24">
      <c r="B32" s="45" t="s">
        <v>160</v>
      </c>
      <c r="D32" s="44" t="s">
        <v>161</v>
      </c>
    </row>
    <row r="33" spans="4:4">
      <c r="D33" s="44" t="s">
        <v>162</v>
      </c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2:F112"/>
  <sheetViews>
    <sheetView workbookViewId="0">
      <selection activeCell="B4" sqref="B4"/>
    </sheetView>
  </sheetViews>
  <sheetFormatPr baseColWidth="10" defaultRowHeight="12.75"/>
  <cols>
    <col min="2" max="2" width="14" bestFit="1" customWidth="1"/>
  </cols>
  <sheetData>
    <row r="2" spans="2:5">
      <c r="D2" t="s">
        <v>164</v>
      </c>
      <c r="E2" s="157" t="s">
        <v>165</v>
      </c>
    </row>
    <row r="3" spans="2:5">
      <c r="B3" s="156" t="str">
        <f>Advance_curve!B8</f>
        <v>TIMER1H count</v>
      </c>
      <c r="D3">
        <v>50</v>
      </c>
    </row>
    <row r="4" spans="2:5">
      <c r="B4" s="1">
        <f>Advance_curve!B9</f>
        <v>11</v>
      </c>
      <c r="C4" s="1">
        <f>$D$3*Advance_curve!B9</f>
        <v>550</v>
      </c>
      <c r="D4" s="44" t="s">
        <v>20</v>
      </c>
    </row>
    <row r="5" spans="2:5">
      <c r="B5" s="1">
        <f>Advance_curve!B10</f>
        <v>12</v>
      </c>
      <c r="C5" s="1">
        <f>$D$3*Advance_curve!B10</f>
        <v>600</v>
      </c>
    </row>
    <row r="6" spans="2:5">
      <c r="B6" s="1">
        <f>Advance_curve!B11</f>
        <v>13</v>
      </c>
      <c r="C6" s="1">
        <f>$D$3*Advance_curve!B11</f>
        <v>650</v>
      </c>
    </row>
    <row r="7" spans="2:5">
      <c r="B7" s="1">
        <f>Advance_curve!B12</f>
        <v>14</v>
      </c>
      <c r="C7" s="1">
        <f>$D$3*Advance_curve!B12</f>
        <v>700</v>
      </c>
    </row>
    <row r="8" spans="2:5">
      <c r="B8" s="1">
        <f>Advance_curve!B13</f>
        <v>15</v>
      </c>
      <c r="C8" s="1">
        <f>$D$3*Advance_curve!B13</f>
        <v>750</v>
      </c>
    </row>
    <row r="9" spans="2:5">
      <c r="B9" s="1">
        <f>Advance_curve!B14</f>
        <v>16</v>
      </c>
      <c r="C9" s="1">
        <f>$D$3*Advance_curve!B14</f>
        <v>800</v>
      </c>
    </row>
    <row r="10" spans="2:5">
      <c r="B10" s="1">
        <f>Advance_curve!B15</f>
        <v>17</v>
      </c>
      <c r="C10" s="1">
        <f>$D$3*Advance_curve!B15</f>
        <v>850</v>
      </c>
    </row>
    <row r="11" spans="2:5">
      <c r="B11" s="1">
        <f>Advance_curve!B16</f>
        <v>18</v>
      </c>
      <c r="C11" s="1">
        <f>$D$3*Advance_curve!B16</f>
        <v>900</v>
      </c>
    </row>
    <row r="12" spans="2:5">
      <c r="B12" s="1">
        <f>Advance_curve!B17</f>
        <v>19</v>
      </c>
      <c r="C12" s="1">
        <f>$D$3*Advance_curve!B17</f>
        <v>950</v>
      </c>
    </row>
    <row r="13" spans="2:5">
      <c r="B13" s="1">
        <f>Advance_curve!B18</f>
        <v>20</v>
      </c>
      <c r="C13" s="1">
        <f>$D$3*Advance_curve!B18</f>
        <v>1000</v>
      </c>
    </row>
    <row r="14" spans="2:5">
      <c r="B14" s="1">
        <f>Advance_curve!B19</f>
        <v>21</v>
      </c>
      <c r="C14" s="1">
        <f>$D$3*Advance_curve!B19</f>
        <v>1050</v>
      </c>
    </row>
    <row r="15" spans="2:5">
      <c r="B15" s="1">
        <f>Advance_curve!B20</f>
        <v>22</v>
      </c>
      <c r="C15" s="1">
        <f>$D$3*Advance_curve!B20</f>
        <v>1100</v>
      </c>
    </row>
    <row r="16" spans="2:5">
      <c r="B16" s="1">
        <f>Advance_curve!B21</f>
        <v>23</v>
      </c>
      <c r="C16" s="1">
        <f>$D$3*Advance_curve!B21</f>
        <v>1150</v>
      </c>
    </row>
    <row r="17" spans="2:6">
      <c r="B17" s="1">
        <f>Advance_curve!B22</f>
        <v>24</v>
      </c>
      <c r="C17" s="1">
        <f>$D$3*Advance_curve!B22</f>
        <v>1200</v>
      </c>
    </row>
    <row r="18" spans="2:6">
      <c r="B18" s="1">
        <f>Advance_curve!B23</f>
        <v>25</v>
      </c>
      <c r="C18" s="1">
        <f>$D$3*Advance_curve!B23</f>
        <v>1250</v>
      </c>
    </row>
    <row r="19" spans="2:6">
      <c r="B19" s="1">
        <f>Advance_curve!B24</f>
        <v>26</v>
      </c>
      <c r="C19" s="1">
        <f>$D$3*Advance_curve!B24</f>
        <v>1300</v>
      </c>
    </row>
    <row r="20" spans="2:6">
      <c r="B20" s="1">
        <f>Advance_curve!B25</f>
        <v>27</v>
      </c>
      <c r="C20" s="1">
        <f>$D$3*Advance_curve!B25</f>
        <v>1350</v>
      </c>
    </row>
    <row r="21" spans="2:6">
      <c r="B21" s="1">
        <f>Advance_curve!B26</f>
        <v>28</v>
      </c>
      <c r="C21" s="1">
        <f>$D$3*Advance_curve!B26</f>
        <v>1400</v>
      </c>
    </row>
    <row r="22" spans="2:6">
      <c r="B22" s="1">
        <f>Advance_curve!B27</f>
        <v>29</v>
      </c>
      <c r="C22" s="1">
        <f>$D$3*Advance_curve!B27</f>
        <v>1450</v>
      </c>
    </row>
    <row r="23" spans="2:6">
      <c r="B23" s="1">
        <f>Advance_curve!B28</f>
        <v>30</v>
      </c>
      <c r="C23" s="1">
        <f>$D$3*Advance_curve!B28</f>
        <v>1500</v>
      </c>
    </row>
    <row r="24" spans="2:6">
      <c r="B24" s="1">
        <f>Advance_curve!B29</f>
        <v>31</v>
      </c>
      <c r="C24" s="1">
        <f>$D$3*Advance_curve!B29</f>
        <v>1550</v>
      </c>
    </row>
    <row r="25" spans="2:6">
      <c r="B25" s="1">
        <f>Advance_curve!B30</f>
        <v>32</v>
      </c>
      <c r="C25" s="1">
        <f>$D$3*Advance_curve!B30</f>
        <v>1600</v>
      </c>
    </row>
    <row r="26" spans="2:6">
      <c r="B26" s="1">
        <f>Advance_curve!B31</f>
        <v>33</v>
      </c>
      <c r="C26" s="1">
        <f>$D$3*Advance_curve!B31</f>
        <v>1650</v>
      </c>
    </row>
    <row r="27" spans="2:6">
      <c r="B27" s="1">
        <f>Advance_curve!B32</f>
        <v>34</v>
      </c>
      <c r="C27" s="1">
        <f>$D$3*Advance_curve!B32</f>
        <v>1700</v>
      </c>
    </row>
    <row r="28" spans="2:6">
      <c r="B28" s="1">
        <f>Advance_curve!B33</f>
        <v>35</v>
      </c>
      <c r="C28" s="1">
        <f>$D$3*Advance_curve!B33</f>
        <v>1750</v>
      </c>
    </row>
    <row r="29" spans="2:6">
      <c r="B29" s="1">
        <f>Advance_curve!B34</f>
        <v>36</v>
      </c>
      <c r="C29" s="1">
        <f>$D$3*Advance_curve!B34</f>
        <v>1800</v>
      </c>
      <c r="E29" s="166"/>
      <c r="F29" s="166"/>
    </row>
    <row r="30" spans="2:6">
      <c r="B30" s="1">
        <f>Advance_curve!B35</f>
        <v>37</v>
      </c>
      <c r="C30" s="1">
        <f>$D$3*Advance_curve!B35</f>
        <v>1850</v>
      </c>
      <c r="E30" s="166"/>
      <c r="F30" s="166"/>
    </row>
    <row r="31" spans="2:6">
      <c r="B31" s="1">
        <f>Advance_curve!B36</f>
        <v>38</v>
      </c>
      <c r="C31" s="1">
        <f>$D$3*Advance_curve!B36</f>
        <v>1900</v>
      </c>
    </row>
    <row r="32" spans="2:6">
      <c r="B32" s="1">
        <f>Advance_curve!B37</f>
        <v>39</v>
      </c>
      <c r="C32" s="1">
        <f>$D$3*Advance_curve!B37</f>
        <v>1950</v>
      </c>
    </row>
    <row r="33" spans="2:3">
      <c r="B33" s="1">
        <f>Advance_curve!B38</f>
        <v>40</v>
      </c>
      <c r="C33" s="1">
        <f>$D$3*Advance_curve!B38</f>
        <v>2000</v>
      </c>
    </row>
    <row r="34" spans="2:3">
      <c r="B34" s="1">
        <f>Advance_curve!B39</f>
        <v>41</v>
      </c>
      <c r="C34" s="1">
        <f>$D$3*Advance_curve!B39</f>
        <v>2050</v>
      </c>
    </row>
    <row r="35" spans="2:3">
      <c r="B35" s="1">
        <f>Advance_curve!B40</f>
        <v>42</v>
      </c>
      <c r="C35" s="1">
        <f>$D$3*Advance_curve!B40</f>
        <v>2100</v>
      </c>
    </row>
    <row r="36" spans="2:3">
      <c r="B36" s="1">
        <f>Advance_curve!B41</f>
        <v>43</v>
      </c>
      <c r="C36" s="1">
        <f>$D$3*Advance_curve!B41</f>
        <v>2150</v>
      </c>
    </row>
    <row r="37" spans="2:3">
      <c r="B37" s="1">
        <f>Advance_curve!B42</f>
        <v>44</v>
      </c>
      <c r="C37" s="1">
        <f>$D$3*Advance_curve!B42</f>
        <v>2200</v>
      </c>
    </row>
    <row r="38" spans="2:3">
      <c r="B38" s="1">
        <f>Advance_curve!B43</f>
        <v>45</v>
      </c>
      <c r="C38" s="1">
        <f>$D$3*Advance_curve!B43</f>
        <v>2250</v>
      </c>
    </row>
    <row r="39" spans="2:3">
      <c r="B39" s="1">
        <f>Advance_curve!B44</f>
        <v>46</v>
      </c>
      <c r="C39" s="1">
        <f>$D$3*Advance_curve!B44</f>
        <v>2300</v>
      </c>
    </row>
    <row r="40" spans="2:3">
      <c r="B40" s="1">
        <f>Advance_curve!B45</f>
        <v>47</v>
      </c>
      <c r="C40" s="1">
        <f>$D$3*Advance_curve!B45</f>
        <v>2350</v>
      </c>
    </row>
    <row r="41" spans="2:3">
      <c r="B41" s="1">
        <f>Advance_curve!B46</f>
        <v>48</v>
      </c>
      <c r="C41" s="1">
        <f>$D$3*Advance_curve!B46</f>
        <v>2400</v>
      </c>
    </row>
    <row r="42" spans="2:3">
      <c r="B42" s="1">
        <f>Advance_curve!B47</f>
        <v>49</v>
      </c>
      <c r="C42" s="1">
        <f>$D$3*Advance_curve!B47</f>
        <v>2450</v>
      </c>
    </row>
    <row r="43" spans="2:3">
      <c r="B43" s="1">
        <f>Advance_curve!B48</f>
        <v>50</v>
      </c>
      <c r="C43" s="1">
        <f>$D$3*Advance_curve!B48</f>
        <v>2500</v>
      </c>
    </row>
    <row r="44" spans="2:3">
      <c r="B44" s="1">
        <f>Advance_curve!B49</f>
        <v>51</v>
      </c>
      <c r="C44" s="1">
        <f>$D$3*Advance_curve!B49</f>
        <v>2550</v>
      </c>
    </row>
    <row r="45" spans="2:3">
      <c r="B45" s="1">
        <f>Advance_curve!B50</f>
        <v>52</v>
      </c>
      <c r="C45" s="1">
        <f>$D$3*Advance_curve!B50</f>
        <v>2600</v>
      </c>
    </row>
    <row r="46" spans="2:3">
      <c r="B46" s="1">
        <f>Advance_curve!B51</f>
        <v>53</v>
      </c>
      <c r="C46" s="1">
        <f>$D$3*Advance_curve!B51</f>
        <v>2650</v>
      </c>
    </row>
    <row r="47" spans="2:3">
      <c r="B47" s="1">
        <f>Advance_curve!B52</f>
        <v>54</v>
      </c>
      <c r="C47" s="1">
        <f>$D$3*Advance_curve!B52</f>
        <v>2700</v>
      </c>
    </row>
    <row r="48" spans="2:3">
      <c r="B48" s="1">
        <f>Advance_curve!B53</f>
        <v>55</v>
      </c>
      <c r="C48" s="1">
        <f>$D$3*Advance_curve!B53</f>
        <v>2750</v>
      </c>
    </row>
    <row r="49" spans="2:3">
      <c r="B49" s="1">
        <f>Advance_curve!B54</f>
        <v>56</v>
      </c>
      <c r="C49" s="1">
        <f>$D$3*Advance_curve!B54</f>
        <v>2800</v>
      </c>
    </row>
    <row r="50" spans="2:3">
      <c r="B50" s="1">
        <f>Advance_curve!B55</f>
        <v>57</v>
      </c>
      <c r="C50" s="1">
        <f>$D$3*Advance_curve!B55</f>
        <v>2850</v>
      </c>
    </row>
    <row r="51" spans="2:3">
      <c r="B51" s="1">
        <f>Advance_curve!B56</f>
        <v>58</v>
      </c>
      <c r="C51" s="1">
        <f>$D$3*Advance_curve!B56</f>
        <v>2900</v>
      </c>
    </row>
    <row r="52" spans="2:3">
      <c r="B52" s="1">
        <f>Advance_curve!B57</f>
        <v>59</v>
      </c>
      <c r="C52" s="1">
        <f>$D$3*Advance_curve!B57</f>
        <v>2950</v>
      </c>
    </row>
    <row r="53" spans="2:3">
      <c r="B53" s="1">
        <f>Advance_curve!B58</f>
        <v>60</v>
      </c>
      <c r="C53" s="1">
        <f>$D$3*Advance_curve!B58</f>
        <v>3000</v>
      </c>
    </row>
    <row r="54" spans="2:3">
      <c r="B54" s="1">
        <f>Advance_curve!B59</f>
        <v>61</v>
      </c>
      <c r="C54" s="1">
        <f>$D$3*Advance_curve!B59</f>
        <v>3050</v>
      </c>
    </row>
    <row r="55" spans="2:3">
      <c r="B55" s="1">
        <f>Advance_curve!B60</f>
        <v>62</v>
      </c>
      <c r="C55" s="1">
        <f>$D$3*Advance_curve!B60</f>
        <v>3100</v>
      </c>
    </row>
    <row r="56" spans="2:3">
      <c r="B56" s="1">
        <f>Advance_curve!B61</f>
        <v>63</v>
      </c>
      <c r="C56" s="1">
        <f>$D$3*Advance_curve!B61</f>
        <v>3150</v>
      </c>
    </row>
    <row r="57" spans="2:3">
      <c r="B57" s="1">
        <f>Advance_curve!B62</f>
        <v>64</v>
      </c>
      <c r="C57" s="1">
        <f>$D$3*Advance_curve!B62</f>
        <v>3200</v>
      </c>
    </row>
    <row r="58" spans="2:3">
      <c r="B58" s="1">
        <f>Advance_curve!B63</f>
        <v>65</v>
      </c>
      <c r="C58" s="1">
        <f>$D$3*Advance_curve!B63</f>
        <v>3250</v>
      </c>
    </row>
    <row r="59" spans="2:3">
      <c r="B59" s="1">
        <f>Advance_curve!B64</f>
        <v>66</v>
      </c>
      <c r="C59" s="1">
        <f>$D$3*Advance_curve!B64</f>
        <v>3300</v>
      </c>
    </row>
    <row r="60" spans="2:3">
      <c r="B60" s="1">
        <f>Advance_curve!B65</f>
        <v>67</v>
      </c>
      <c r="C60" s="1">
        <f>$D$3*Advance_curve!B65</f>
        <v>3350</v>
      </c>
    </row>
    <row r="61" spans="2:3">
      <c r="B61" s="1">
        <f>Advance_curve!B66</f>
        <v>68</v>
      </c>
      <c r="C61" s="1">
        <f>$D$3*Advance_curve!B66</f>
        <v>3400</v>
      </c>
    </row>
    <row r="62" spans="2:3">
      <c r="B62" s="1">
        <f>Advance_curve!B67</f>
        <v>69</v>
      </c>
      <c r="C62" s="1">
        <f>$D$3*Advance_curve!B67</f>
        <v>3450</v>
      </c>
    </row>
    <row r="63" spans="2:3">
      <c r="B63" s="1">
        <f>Advance_curve!B68</f>
        <v>70</v>
      </c>
      <c r="C63" s="1">
        <f>$D$3*Advance_curve!B68</f>
        <v>3500</v>
      </c>
    </row>
    <row r="64" spans="2:3">
      <c r="B64" s="1">
        <f>Advance_curve!B69</f>
        <v>71</v>
      </c>
      <c r="C64" s="1">
        <f>$D$3*Advance_curve!B69</f>
        <v>3550</v>
      </c>
    </row>
    <row r="65" spans="2:3">
      <c r="B65" s="1">
        <f>Advance_curve!B70</f>
        <v>72</v>
      </c>
      <c r="C65" s="1">
        <f>$D$3*Advance_curve!B70</f>
        <v>3600</v>
      </c>
    </row>
    <row r="66" spans="2:3">
      <c r="B66" s="1">
        <f>Advance_curve!B71</f>
        <v>73</v>
      </c>
      <c r="C66" s="1">
        <f>$D$3*Advance_curve!B71</f>
        <v>3650</v>
      </c>
    </row>
    <row r="67" spans="2:3">
      <c r="B67" s="1">
        <f>Advance_curve!B72</f>
        <v>74</v>
      </c>
      <c r="C67" s="1">
        <f>$D$3*Advance_curve!B72</f>
        <v>3700</v>
      </c>
    </row>
    <row r="68" spans="2:3">
      <c r="B68" s="1">
        <f>Advance_curve!B73</f>
        <v>75</v>
      </c>
      <c r="C68" s="1">
        <f>$D$3*Advance_curve!B73</f>
        <v>3750</v>
      </c>
    </row>
    <row r="69" spans="2:3">
      <c r="B69" s="1">
        <f>Advance_curve!B74</f>
        <v>76</v>
      </c>
      <c r="C69" s="1">
        <f>$D$3*Advance_curve!B74</f>
        <v>3800</v>
      </c>
    </row>
    <row r="70" spans="2:3">
      <c r="B70" s="1">
        <f>Advance_curve!B75</f>
        <v>77</v>
      </c>
      <c r="C70" s="1">
        <f>$D$3*Advance_curve!B75</f>
        <v>3850</v>
      </c>
    </row>
    <row r="71" spans="2:3">
      <c r="B71" s="1">
        <f>Advance_curve!B76</f>
        <v>78</v>
      </c>
      <c r="C71" s="1">
        <f>$D$3*Advance_curve!B76</f>
        <v>3900</v>
      </c>
    </row>
    <row r="72" spans="2:3">
      <c r="B72" s="1">
        <f>Advance_curve!B77</f>
        <v>79</v>
      </c>
      <c r="C72" s="1">
        <f>$D$3*Advance_curve!B77</f>
        <v>3950</v>
      </c>
    </row>
    <row r="73" spans="2:3">
      <c r="B73" s="1">
        <f>Advance_curve!B78</f>
        <v>80</v>
      </c>
      <c r="C73" s="1">
        <f>$D$3*Advance_curve!B78</f>
        <v>4000</v>
      </c>
    </row>
    <row r="74" spans="2:3">
      <c r="B74" s="1">
        <f>Advance_curve!B79</f>
        <v>81</v>
      </c>
      <c r="C74" s="1">
        <f>$D$3*Advance_curve!B79</f>
        <v>4050</v>
      </c>
    </row>
    <row r="75" spans="2:3">
      <c r="B75" s="1">
        <f>Advance_curve!B80</f>
        <v>82</v>
      </c>
      <c r="C75" s="1">
        <f>$D$3*Advance_curve!B80</f>
        <v>4100</v>
      </c>
    </row>
    <row r="76" spans="2:3">
      <c r="B76" s="1">
        <f>Advance_curve!B81</f>
        <v>83</v>
      </c>
      <c r="C76" s="1">
        <f>$D$3*Advance_curve!B81</f>
        <v>4150</v>
      </c>
    </row>
    <row r="77" spans="2:3">
      <c r="B77" s="1">
        <f>Advance_curve!B82</f>
        <v>84</v>
      </c>
      <c r="C77" s="1">
        <f>$D$3*Advance_curve!B82</f>
        <v>4200</v>
      </c>
    </row>
    <row r="78" spans="2:3">
      <c r="B78" s="1">
        <f>Advance_curve!B83</f>
        <v>85</v>
      </c>
      <c r="C78" s="1">
        <f>$D$3*Advance_curve!B83</f>
        <v>4250</v>
      </c>
    </row>
    <row r="79" spans="2:3">
      <c r="B79" s="1">
        <f>Advance_curve!B84</f>
        <v>86</v>
      </c>
      <c r="C79" s="1">
        <f>$D$3*Advance_curve!B84</f>
        <v>4300</v>
      </c>
    </row>
    <row r="80" spans="2:3">
      <c r="B80" s="1">
        <f>Advance_curve!B85</f>
        <v>87</v>
      </c>
      <c r="C80" s="1">
        <f>$D$3*Advance_curve!B85</f>
        <v>4350</v>
      </c>
    </row>
    <row r="81" spans="2:3">
      <c r="B81" s="1">
        <f>Advance_curve!B86</f>
        <v>88</v>
      </c>
      <c r="C81" s="1">
        <f>$D$3*Advance_curve!B86</f>
        <v>4400</v>
      </c>
    </row>
    <row r="82" spans="2:3">
      <c r="B82" s="1">
        <f>Advance_curve!B87</f>
        <v>89</v>
      </c>
      <c r="C82" s="1">
        <f>$D$3*Advance_curve!B87</f>
        <v>4450</v>
      </c>
    </row>
    <row r="83" spans="2:3">
      <c r="B83" s="1">
        <f>Advance_curve!B88</f>
        <v>90</v>
      </c>
      <c r="C83" s="1">
        <f>$D$3*Advance_curve!B88</f>
        <v>4500</v>
      </c>
    </row>
    <row r="84" spans="2:3">
      <c r="B84" s="1">
        <f>Advance_curve!B89</f>
        <v>91</v>
      </c>
      <c r="C84" s="1">
        <f>$D$3*Advance_curve!B89</f>
        <v>4550</v>
      </c>
    </row>
    <row r="85" spans="2:3">
      <c r="B85" s="1">
        <f>Advance_curve!B90</f>
        <v>92</v>
      </c>
      <c r="C85" s="1">
        <f>$D$3*Advance_curve!B90</f>
        <v>4600</v>
      </c>
    </row>
    <row r="86" spans="2:3">
      <c r="B86" s="1">
        <f>Advance_curve!B91</f>
        <v>93</v>
      </c>
      <c r="C86" s="1">
        <f>$D$3*Advance_curve!B91</f>
        <v>4650</v>
      </c>
    </row>
    <row r="87" spans="2:3">
      <c r="B87" s="1">
        <f>Advance_curve!B92</f>
        <v>94</v>
      </c>
      <c r="C87" s="1">
        <f>$D$3*Advance_curve!B92</f>
        <v>4700</v>
      </c>
    </row>
    <row r="88" spans="2:3">
      <c r="B88" s="1">
        <f>Advance_curve!B93</f>
        <v>95</v>
      </c>
      <c r="C88" s="1">
        <f>$D$3*Advance_curve!B93</f>
        <v>4750</v>
      </c>
    </row>
    <row r="89" spans="2:3">
      <c r="B89" s="1">
        <f>Advance_curve!B94</f>
        <v>96</v>
      </c>
      <c r="C89" s="1">
        <f>$D$3*Advance_curve!B94</f>
        <v>4800</v>
      </c>
    </row>
    <row r="90" spans="2:3">
      <c r="B90" s="1">
        <f>Advance_curve!B95</f>
        <v>97</v>
      </c>
      <c r="C90" s="1">
        <f>$D$3*Advance_curve!B95</f>
        <v>4850</v>
      </c>
    </row>
    <row r="91" spans="2:3">
      <c r="B91" s="1">
        <f>Advance_curve!B96</f>
        <v>98</v>
      </c>
      <c r="C91" s="1">
        <f>$D$3*Advance_curve!B96</f>
        <v>4900</v>
      </c>
    </row>
    <row r="92" spans="2:3">
      <c r="B92" s="1">
        <f>Advance_curve!B97</f>
        <v>99</v>
      </c>
      <c r="C92" s="1">
        <f>$D$3*Advance_curve!B97</f>
        <v>4950</v>
      </c>
    </row>
    <row r="93" spans="2:3">
      <c r="B93" s="1">
        <f>Advance_curve!B98</f>
        <v>100</v>
      </c>
      <c r="C93" s="1">
        <f>$D$3*Advance_curve!B98</f>
        <v>5000</v>
      </c>
    </row>
    <row r="94" spans="2:3">
      <c r="B94" s="1">
        <f>Advance_curve!B99</f>
        <v>101</v>
      </c>
      <c r="C94" s="1">
        <f>$D$3*Advance_curve!B99</f>
        <v>5050</v>
      </c>
    </row>
    <row r="95" spans="2:3">
      <c r="B95" s="1">
        <f>Advance_curve!B100</f>
        <v>102</v>
      </c>
      <c r="C95" s="1">
        <f>$D$3*Advance_curve!B100</f>
        <v>5100</v>
      </c>
    </row>
    <row r="96" spans="2:3">
      <c r="B96" s="1">
        <f>Advance_curve!B101</f>
        <v>103</v>
      </c>
      <c r="C96" s="1">
        <f>$D$3*Advance_curve!B101</f>
        <v>5150</v>
      </c>
    </row>
    <row r="97" spans="2:3">
      <c r="B97" s="1">
        <f>Advance_curve!B102</f>
        <v>104</v>
      </c>
      <c r="C97" s="1">
        <f>$D$3*Advance_curve!B102</f>
        <v>5200</v>
      </c>
    </row>
    <row r="98" spans="2:3">
      <c r="B98" s="1">
        <f>Advance_curve!B103</f>
        <v>105</v>
      </c>
      <c r="C98" s="1">
        <f>$D$3*Advance_curve!B103</f>
        <v>5250</v>
      </c>
    </row>
    <row r="99" spans="2:3">
      <c r="B99" s="156"/>
    </row>
    <row r="100" spans="2:3">
      <c r="B100" s="156"/>
    </row>
    <row r="101" spans="2:3">
      <c r="B101" s="156"/>
    </row>
    <row r="102" spans="2:3">
      <c r="B102" s="156"/>
    </row>
    <row r="103" spans="2:3">
      <c r="B103" s="156"/>
    </row>
    <row r="104" spans="2:3">
      <c r="B104" s="156"/>
    </row>
    <row r="105" spans="2:3">
      <c r="B105" s="156"/>
    </row>
    <row r="106" spans="2:3">
      <c r="B106" s="156"/>
    </row>
    <row r="107" spans="2:3">
      <c r="B107" s="156"/>
    </row>
    <row r="108" spans="2:3">
      <c r="B108" s="156"/>
    </row>
    <row r="109" spans="2:3">
      <c r="B109" s="156"/>
    </row>
    <row r="110" spans="2:3">
      <c r="B110" s="156"/>
    </row>
    <row r="111" spans="2:3">
      <c r="B111" s="156"/>
    </row>
    <row r="112" spans="2:3">
      <c r="B112" s="156"/>
    </row>
  </sheetData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4:D35"/>
  <sheetViews>
    <sheetView workbookViewId="0">
      <selection activeCell="B36" sqref="B36"/>
    </sheetView>
  </sheetViews>
  <sheetFormatPr baseColWidth="10" defaultRowHeight="12.75"/>
  <sheetData>
    <row r="4" spans="1:2">
      <c r="A4" t="s">
        <v>167</v>
      </c>
      <c r="B4" t="s">
        <v>168</v>
      </c>
    </row>
    <row r="5" spans="1:2">
      <c r="A5" t="s">
        <v>166</v>
      </c>
      <c r="B5" t="s">
        <v>169</v>
      </c>
    </row>
    <row r="6" spans="1:2">
      <c r="A6" t="s">
        <v>170</v>
      </c>
      <c r="B6" t="s">
        <v>171</v>
      </c>
    </row>
    <row r="7" spans="1:2">
      <c r="A7" t="s">
        <v>172</v>
      </c>
      <c r="B7" t="s">
        <v>173</v>
      </c>
    </row>
    <row r="8" spans="1:2">
      <c r="A8" t="s">
        <v>180</v>
      </c>
      <c r="B8" t="s">
        <v>262</v>
      </c>
    </row>
    <row r="9" spans="1:2">
      <c r="B9" t="s">
        <v>185</v>
      </c>
    </row>
    <row r="10" spans="1:2">
      <c r="B10" t="s">
        <v>181</v>
      </c>
    </row>
    <row r="11" spans="1:2">
      <c r="B11" t="s">
        <v>183</v>
      </c>
    </row>
    <row r="12" spans="1:2">
      <c r="B12" t="s">
        <v>184</v>
      </c>
    </row>
    <row r="13" spans="1:2">
      <c r="B13" t="s">
        <v>182</v>
      </c>
    </row>
    <row r="14" spans="1:2">
      <c r="A14" s="166" t="s">
        <v>194</v>
      </c>
      <c r="B14" s="167" t="s">
        <v>192</v>
      </c>
    </row>
    <row r="15" spans="1:2">
      <c r="B15" s="167" t="s">
        <v>193</v>
      </c>
    </row>
    <row r="16" spans="1:2">
      <c r="B16" s="167" t="s">
        <v>212</v>
      </c>
    </row>
    <row r="17" spans="1:4">
      <c r="A17" s="166" t="s">
        <v>215</v>
      </c>
      <c r="B17" s="167" t="s">
        <v>214</v>
      </c>
      <c r="C17" s="167"/>
      <c r="D17" s="167"/>
    </row>
    <row r="18" spans="1:4">
      <c r="B18" s="167" t="s">
        <v>216</v>
      </c>
    </row>
    <row r="19" spans="1:4">
      <c r="A19" s="166" t="s">
        <v>220</v>
      </c>
      <c r="B19" s="167" t="s">
        <v>218</v>
      </c>
    </row>
    <row r="20" spans="1:4">
      <c r="A20" s="166"/>
      <c r="B20" s="167" t="s">
        <v>219</v>
      </c>
    </row>
    <row r="21" spans="1:4">
      <c r="A21" s="167" t="s">
        <v>222</v>
      </c>
      <c r="B21" s="167" t="s">
        <v>223</v>
      </c>
    </row>
    <row r="22" spans="1:4">
      <c r="A22" s="167" t="s">
        <v>224</v>
      </c>
      <c r="B22" s="167" t="s">
        <v>225</v>
      </c>
    </row>
    <row r="23" spans="1:4">
      <c r="B23" s="167" t="s">
        <v>236</v>
      </c>
    </row>
    <row r="24" spans="1:4">
      <c r="A24" s="167" t="s">
        <v>237</v>
      </c>
      <c r="B24" s="167" t="s">
        <v>238</v>
      </c>
    </row>
    <row r="25" spans="1:4">
      <c r="B25" s="167" t="s">
        <v>239</v>
      </c>
    </row>
    <row r="26" spans="1:4">
      <c r="A26" s="167"/>
      <c r="B26" s="167" t="s">
        <v>226</v>
      </c>
    </row>
    <row r="27" spans="1:4">
      <c r="A27" s="167" t="s">
        <v>258</v>
      </c>
      <c r="B27" s="167" t="s">
        <v>259</v>
      </c>
    </row>
    <row r="28" spans="1:4" s="166" customFormat="1">
      <c r="A28" s="167"/>
      <c r="B28" s="167" t="s">
        <v>263</v>
      </c>
    </row>
    <row r="29" spans="1:4">
      <c r="B29" s="167" t="s">
        <v>260</v>
      </c>
    </row>
    <row r="30" spans="1:4">
      <c r="B30" s="167" t="s">
        <v>279</v>
      </c>
    </row>
    <row r="31" spans="1:4">
      <c r="B31" s="167" t="s">
        <v>280</v>
      </c>
    </row>
    <row r="32" spans="1:4">
      <c r="A32" s="167" t="s">
        <v>285</v>
      </c>
      <c r="B32" s="167" t="s">
        <v>282</v>
      </c>
    </row>
    <row r="33" spans="1:2">
      <c r="B33" s="167" t="s">
        <v>284</v>
      </c>
    </row>
    <row r="34" spans="1:2">
      <c r="A34" s="167" t="s">
        <v>291</v>
      </c>
      <c r="B34" s="167" t="s">
        <v>292</v>
      </c>
    </row>
    <row r="35" spans="1:2">
      <c r="B35" s="167" t="s">
        <v>293</v>
      </c>
    </row>
  </sheetData>
  <sheetProtection sheet="1" objects="1" scenario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46"/>
  <sheetViews>
    <sheetView showGridLines="0" tabSelected="1" zoomScaleNormal="100" workbookViewId="0">
      <selection activeCell="F5" sqref="F5"/>
    </sheetView>
  </sheetViews>
  <sheetFormatPr baseColWidth="10" defaultColWidth="11.42578125" defaultRowHeight="12.75"/>
  <cols>
    <col min="1" max="1" width="6" style="27" bestFit="1" customWidth="1"/>
    <col min="2" max="2" width="9.85546875" style="27" bestFit="1" customWidth="1"/>
    <col min="3" max="3" width="9.85546875" style="27" customWidth="1"/>
    <col min="4" max="4" width="7.7109375" style="27" customWidth="1"/>
    <col min="5" max="5" width="10.28515625" style="27" customWidth="1"/>
    <col min="6" max="6" width="9.7109375" style="27" customWidth="1"/>
    <col min="7" max="7" width="9.5703125" style="27" customWidth="1"/>
    <col min="8" max="8" width="7.85546875" style="27" bestFit="1" customWidth="1"/>
    <col min="9" max="9" width="9.7109375" style="27" customWidth="1"/>
    <col min="10" max="10" width="11.85546875" style="27" customWidth="1"/>
    <col min="11" max="11" width="28.42578125" style="27" bestFit="1" customWidth="1"/>
    <col min="12" max="12" width="16.5703125" style="27" bestFit="1" customWidth="1"/>
    <col min="13" max="13" width="20" style="27" customWidth="1"/>
    <col min="14" max="14" width="5.28515625" style="27" customWidth="1"/>
    <col min="15" max="15" width="44.85546875" style="27" bestFit="1" customWidth="1"/>
    <col min="16" max="16" width="5.42578125" style="27" customWidth="1"/>
    <col min="17" max="17" width="26.42578125" style="27" bestFit="1" customWidth="1"/>
    <col min="18" max="18" width="7" style="27" customWidth="1"/>
    <col min="19" max="19" width="44.85546875" style="29" bestFit="1" customWidth="1"/>
    <col min="20" max="22" width="11.42578125" style="27" customWidth="1"/>
    <col min="23" max="23" width="9.42578125" style="27" customWidth="1"/>
    <col min="24" max="16384" width="11.42578125" style="27"/>
  </cols>
  <sheetData>
    <row r="1" spans="1:26" ht="25.5">
      <c r="A1" s="107"/>
      <c r="B1" s="163" t="s">
        <v>290</v>
      </c>
      <c r="C1" s="28"/>
      <c r="D1" s="230" t="s">
        <v>289</v>
      </c>
      <c r="I1" s="225">
        <v>79</v>
      </c>
      <c r="J1" s="226">
        <v>20</v>
      </c>
      <c r="K1" s="226">
        <v>2</v>
      </c>
    </row>
    <row r="3" spans="1:26" ht="18.75">
      <c r="E3" s="30"/>
      <c r="F3" s="30" t="s">
        <v>17</v>
      </c>
      <c r="G3" s="30"/>
      <c r="I3" s="229" t="s">
        <v>82</v>
      </c>
      <c r="J3" s="135" t="s">
        <v>13</v>
      </c>
    </row>
    <row r="4" spans="1:26">
      <c r="F4" s="31" t="s">
        <v>1</v>
      </c>
      <c r="G4" s="31"/>
      <c r="I4" s="229" t="s">
        <v>83</v>
      </c>
      <c r="J4" s="93" t="s">
        <v>84</v>
      </c>
    </row>
    <row r="5" spans="1:26">
      <c r="F5" s="103">
        <v>50</v>
      </c>
      <c r="G5" s="32" t="s">
        <v>24</v>
      </c>
      <c r="I5" s="93">
        <v>71</v>
      </c>
      <c r="J5" s="103">
        <v>20</v>
      </c>
    </row>
    <row r="6" spans="1:26">
      <c r="D6" s="33"/>
      <c r="G6" s="201" t="str">
        <f>IF(MAX(J9:J103)&gt;254,"Some cells warn. Increase STEP cell J5 ?","")</f>
        <v>Some cells warn. Increase STEP cell J5 ?</v>
      </c>
    </row>
    <row r="7" spans="1:26" ht="19.5" thickBot="1">
      <c r="F7" s="30" t="s">
        <v>118</v>
      </c>
      <c r="J7" s="34" t="str">
        <f>IF(ISERROR(J9),"Load DECHEX macro","")</f>
        <v/>
      </c>
    </row>
    <row r="8" spans="1:26" ht="41.25" customHeight="1" thickBot="1">
      <c r="B8" s="26" t="s">
        <v>99</v>
      </c>
      <c r="C8" s="26" t="s">
        <v>45</v>
      </c>
      <c r="D8" s="186" t="s">
        <v>2</v>
      </c>
      <c r="E8" s="26" t="s">
        <v>4</v>
      </c>
      <c r="F8" s="26" t="s">
        <v>3</v>
      </c>
      <c r="G8" s="26" t="s">
        <v>254</v>
      </c>
      <c r="H8" s="26" t="s">
        <v>253</v>
      </c>
      <c r="I8" s="26" t="s">
        <v>255</v>
      </c>
      <c r="J8" s="26" t="s">
        <v>42</v>
      </c>
      <c r="L8" s="35"/>
      <c r="M8" s="35"/>
      <c r="S8" s="27"/>
    </row>
    <row r="9" spans="1:26" ht="18.75">
      <c r="A9" s="30" t="s">
        <v>120</v>
      </c>
      <c r="B9" s="120">
        <v>11</v>
      </c>
      <c r="C9" s="75">
        <f t="shared" ref="C9:C40" si="0">(2*$M$24*D9)/(60*$M$25)</f>
        <v>88.775000000000006</v>
      </c>
      <c r="D9" s="108">
        <f t="shared" ref="D9:D40" si="1">INT((60*1000000)/((B9*256)*(1/(1/$M$30))))</f>
        <v>10653</v>
      </c>
      <c r="E9" s="81">
        <f>((1000*1000*60)/($M$24*D9))/360</f>
        <v>15.645045214180669</v>
      </c>
      <c r="F9" s="115">
        <v>10</v>
      </c>
      <c r="G9" s="82">
        <f t="shared" ref="G9:G40" si="2">(E9*($F$5-F9))/1000</f>
        <v>0.62580180856722678</v>
      </c>
      <c r="H9" s="51">
        <f t="shared" ref="H9:H40" si="3">E9*($F$5-F9)</f>
        <v>625.80180856722677</v>
      </c>
      <c r="I9" s="51">
        <f>IF($H9&gt;$I$5,INT($H9-$I$5),"out of range")</f>
        <v>554</v>
      </c>
      <c r="J9" s="89">
        <f>IF($I9/$J$5&gt;255,255,IF($I9&gt;0.01,INT($I9/$J$5),1))</f>
        <v>27</v>
      </c>
      <c r="K9" s="200" t="str">
        <f t="shared" ref="K9:K72" si="4">IF($I9/$J$5&gt;255,CONCATENATE("WARNING: Timing will be more then ",F9,"°"),"")</f>
        <v/>
      </c>
      <c r="S9" s="27"/>
      <c r="T9" s="29"/>
      <c r="W9" s="43"/>
      <c r="X9" s="193" t="str">
        <f t="shared" ref="X9:X40" si="5">CONCATENATE(J9,"         ;",ROUND(D9,0),"rpm | ",ROUND(F9,1),"° | ",,ROUND(G9,2),"ms ")</f>
        <v xml:space="preserve">27         ;10653rpm | 10° | 0,63ms </v>
      </c>
      <c r="Y9" s="193"/>
      <c r="Z9" s="193"/>
    </row>
    <row r="10" spans="1:26">
      <c r="B10" s="2">
        <f>IF((B9+1)&lt;(95+$B$9),B9+1,"- End -")</f>
        <v>12</v>
      </c>
      <c r="C10" s="73">
        <f t="shared" si="0"/>
        <v>81.375</v>
      </c>
      <c r="D10" s="108">
        <f t="shared" si="1"/>
        <v>9765</v>
      </c>
      <c r="E10" s="81">
        <f t="shared" ref="E10:E73" si="6">((1000*1000*60)/($M$24*D10))/360</f>
        <v>17.067759003242877</v>
      </c>
      <c r="F10" s="92">
        <v>11</v>
      </c>
      <c r="G10" s="83">
        <f t="shared" si="2"/>
        <v>0.66564260112647222</v>
      </c>
      <c r="H10" s="42">
        <f t="shared" si="3"/>
        <v>665.64260112647219</v>
      </c>
      <c r="I10" s="42">
        <f>IF($H10&gt;$I$5,INT($H10-$I$5),"out of range")</f>
        <v>594</v>
      </c>
      <c r="J10" s="90">
        <f t="shared" ref="J10:J73" si="7">IF($I10/$J$5&gt;255,255,IF($I10&gt;0.01,INT($I10/$J$5),1))</f>
        <v>29</v>
      </c>
      <c r="K10" s="200" t="str">
        <f t="shared" si="4"/>
        <v/>
      </c>
      <c r="S10" s="27"/>
      <c r="T10" s="29"/>
      <c r="W10" s="43"/>
      <c r="X10" s="193" t="str">
        <f t="shared" si="5"/>
        <v xml:space="preserve">29         ;9765rpm | 11° | 0,67ms </v>
      </c>
      <c r="Y10" s="193"/>
      <c r="Z10" s="193"/>
    </row>
    <row r="11" spans="1:26">
      <c r="A11" s="31"/>
      <c r="B11" s="2">
        <f t="shared" ref="B11:B74" si="8">IF((B10+1)&lt;(95+$B$9),B10+1,"- End -")</f>
        <v>13</v>
      </c>
      <c r="C11" s="73">
        <f t="shared" si="0"/>
        <v>75.11666666666666</v>
      </c>
      <c r="D11" s="108">
        <f t="shared" si="1"/>
        <v>9014</v>
      </c>
      <c r="E11" s="81">
        <f t="shared" si="6"/>
        <v>18.489756674802159</v>
      </c>
      <c r="F11" s="92">
        <v>12</v>
      </c>
      <c r="G11" s="83">
        <f t="shared" si="2"/>
        <v>0.70261075364248204</v>
      </c>
      <c r="H11" s="42">
        <f t="shared" si="3"/>
        <v>702.610753642482</v>
      </c>
      <c r="I11" s="42">
        <f t="shared" ref="I11:I74" si="9">IF($H11&gt;$I$5,INT($H11-$I$5),"out of range")</f>
        <v>631</v>
      </c>
      <c r="J11" s="90">
        <f t="shared" si="7"/>
        <v>31</v>
      </c>
      <c r="K11" s="200" t="str">
        <f t="shared" si="4"/>
        <v/>
      </c>
      <c r="S11" s="27"/>
      <c r="T11" s="29"/>
      <c r="W11" s="43"/>
      <c r="X11" s="193" t="str">
        <f t="shared" si="5"/>
        <v xml:space="preserve">31         ;9014rpm | 12° | 0,7ms </v>
      </c>
      <c r="Y11" s="193"/>
      <c r="Z11" s="193"/>
    </row>
    <row r="12" spans="1:26">
      <c r="B12" s="2">
        <f t="shared" si="8"/>
        <v>14</v>
      </c>
      <c r="C12" s="73">
        <f t="shared" si="0"/>
        <v>69.75</v>
      </c>
      <c r="D12" s="108">
        <f t="shared" si="1"/>
        <v>8370</v>
      </c>
      <c r="E12" s="81">
        <f t="shared" si="6"/>
        <v>19.912385503783355</v>
      </c>
      <c r="F12" s="92">
        <v>13</v>
      </c>
      <c r="G12" s="83">
        <f t="shared" si="2"/>
        <v>0.73675826363998409</v>
      </c>
      <c r="H12" s="42">
        <f t="shared" si="3"/>
        <v>736.75826363998408</v>
      </c>
      <c r="I12" s="42">
        <f t="shared" si="9"/>
        <v>665</v>
      </c>
      <c r="J12" s="90">
        <f t="shared" si="7"/>
        <v>33</v>
      </c>
      <c r="K12" s="200" t="str">
        <f t="shared" si="4"/>
        <v/>
      </c>
      <c r="S12" s="27"/>
      <c r="T12" s="29"/>
      <c r="W12" s="43"/>
      <c r="X12" s="193" t="str">
        <f t="shared" si="5"/>
        <v xml:space="preserve">33         ;8370rpm | 13° | 0,74ms </v>
      </c>
      <c r="Y12" s="193"/>
      <c r="Z12" s="193"/>
    </row>
    <row r="13" spans="1:26">
      <c r="B13" s="2">
        <f t="shared" si="8"/>
        <v>15</v>
      </c>
      <c r="C13" s="73">
        <f t="shared" si="0"/>
        <v>65.099999999999994</v>
      </c>
      <c r="D13" s="108">
        <f t="shared" si="1"/>
        <v>7812</v>
      </c>
      <c r="E13" s="81">
        <f t="shared" si="6"/>
        <v>21.334698754053591</v>
      </c>
      <c r="F13" s="92">
        <v>14</v>
      </c>
      <c r="G13" s="83">
        <f t="shared" si="2"/>
        <v>0.76804915514592931</v>
      </c>
      <c r="H13" s="42">
        <f t="shared" si="3"/>
        <v>768.04915514592926</v>
      </c>
      <c r="I13" s="42">
        <f t="shared" si="9"/>
        <v>697</v>
      </c>
      <c r="J13" s="90">
        <f t="shared" si="7"/>
        <v>34</v>
      </c>
      <c r="K13" s="200" t="str">
        <f t="shared" si="4"/>
        <v/>
      </c>
      <c r="S13" s="27"/>
      <c r="T13" s="29"/>
      <c r="W13" s="43"/>
      <c r="X13" s="193" t="str">
        <f t="shared" si="5"/>
        <v xml:space="preserve">34         ;7812rpm | 14° | 0,77ms </v>
      </c>
      <c r="Y13" s="193"/>
      <c r="Z13" s="193"/>
    </row>
    <row r="14" spans="1:26">
      <c r="B14" s="2">
        <f t="shared" si="8"/>
        <v>16</v>
      </c>
      <c r="C14" s="73">
        <f t="shared" si="0"/>
        <v>61.033333333333331</v>
      </c>
      <c r="D14" s="108">
        <f t="shared" si="1"/>
        <v>7324</v>
      </c>
      <c r="E14" s="81">
        <f t="shared" si="6"/>
        <v>22.756235208447116</v>
      </c>
      <c r="F14" s="92">
        <v>14</v>
      </c>
      <c r="G14" s="83">
        <f t="shared" si="2"/>
        <v>0.81922446750409617</v>
      </c>
      <c r="H14" s="42">
        <f t="shared" si="3"/>
        <v>819.2244675040962</v>
      </c>
      <c r="I14" s="42">
        <f t="shared" si="9"/>
        <v>748</v>
      </c>
      <c r="J14" s="90">
        <f t="shared" si="7"/>
        <v>37</v>
      </c>
      <c r="K14" s="200" t="str">
        <f t="shared" si="4"/>
        <v/>
      </c>
      <c r="S14" s="27"/>
      <c r="T14" s="29"/>
      <c r="W14" s="43"/>
      <c r="X14" s="193" t="str">
        <f t="shared" si="5"/>
        <v xml:space="preserve">37         ;7324rpm | 14° | 0,82ms </v>
      </c>
      <c r="Y14" s="193"/>
      <c r="Z14" s="193"/>
    </row>
    <row r="15" spans="1:26">
      <c r="B15" s="2">
        <f t="shared" si="8"/>
        <v>17</v>
      </c>
      <c r="C15" s="73">
        <f t="shared" si="0"/>
        <v>57.44166666666667</v>
      </c>
      <c r="D15" s="108">
        <f t="shared" si="1"/>
        <v>6893</v>
      </c>
      <c r="E15" s="81">
        <f t="shared" si="6"/>
        <v>24.179118912906816</v>
      </c>
      <c r="F15" s="92">
        <v>14</v>
      </c>
      <c r="G15" s="83">
        <f t="shared" si="2"/>
        <v>0.87044828086464532</v>
      </c>
      <c r="H15" s="42">
        <f t="shared" si="3"/>
        <v>870.44828086464531</v>
      </c>
      <c r="I15" s="42">
        <f t="shared" si="9"/>
        <v>799</v>
      </c>
      <c r="J15" s="90">
        <f t="shared" si="7"/>
        <v>39</v>
      </c>
      <c r="K15" s="200" t="str">
        <f t="shared" si="4"/>
        <v/>
      </c>
      <c r="S15" s="27"/>
      <c r="T15" s="29"/>
      <c r="W15" s="43"/>
      <c r="X15" s="193" t="str">
        <f t="shared" si="5"/>
        <v xml:space="preserve">39         ;6893rpm | 14° | 0,87ms </v>
      </c>
      <c r="Y15" s="193"/>
      <c r="Z15" s="193"/>
    </row>
    <row r="16" spans="1:26">
      <c r="B16" s="2">
        <f t="shared" si="8"/>
        <v>18</v>
      </c>
      <c r="C16" s="73">
        <f t="shared" si="0"/>
        <v>54.25</v>
      </c>
      <c r="D16" s="108">
        <f t="shared" si="1"/>
        <v>6510</v>
      </c>
      <c r="E16" s="81">
        <f t="shared" si="6"/>
        <v>25.601638504864312</v>
      </c>
      <c r="F16" s="92">
        <v>14</v>
      </c>
      <c r="G16" s="83">
        <f t="shared" si="2"/>
        <v>0.92165898617511521</v>
      </c>
      <c r="H16" s="42">
        <f t="shared" si="3"/>
        <v>921.65898617511516</v>
      </c>
      <c r="I16" s="42">
        <f t="shared" si="9"/>
        <v>850</v>
      </c>
      <c r="J16" s="90">
        <f t="shared" si="7"/>
        <v>42</v>
      </c>
      <c r="K16" s="200" t="str">
        <f t="shared" si="4"/>
        <v/>
      </c>
      <c r="S16" s="27"/>
      <c r="T16" s="29"/>
      <c r="W16" s="43"/>
      <c r="X16" s="193" t="str">
        <f t="shared" si="5"/>
        <v xml:space="preserve">42         ;6510rpm | 14° | 0,92ms </v>
      </c>
      <c r="Y16" s="193"/>
      <c r="Z16" s="193"/>
    </row>
    <row r="17" spans="2:26" ht="15.75">
      <c r="B17" s="2">
        <f t="shared" si="8"/>
        <v>19</v>
      </c>
      <c r="C17" s="73">
        <f t="shared" si="0"/>
        <v>51.391666666666666</v>
      </c>
      <c r="D17" s="108">
        <f t="shared" si="1"/>
        <v>6167</v>
      </c>
      <c r="E17" s="81">
        <f t="shared" si="6"/>
        <v>27.025566185611588</v>
      </c>
      <c r="F17" s="92">
        <v>14</v>
      </c>
      <c r="G17" s="83">
        <f t="shared" si="2"/>
        <v>0.97292038268201708</v>
      </c>
      <c r="H17" s="42">
        <f t="shared" si="3"/>
        <v>972.92038268201713</v>
      </c>
      <c r="I17" s="42">
        <f t="shared" si="9"/>
        <v>901</v>
      </c>
      <c r="J17" s="90">
        <f t="shared" si="7"/>
        <v>45</v>
      </c>
      <c r="K17" s="200" t="str">
        <f t="shared" si="4"/>
        <v/>
      </c>
      <c r="N17" s="56" t="s">
        <v>51</v>
      </c>
      <c r="O17" s="27" t="str">
        <f>EEPROM16!O1</f>
        <v>INTEL 16HEX format</v>
      </c>
      <c r="S17" s="53" t="str">
        <f>EEPROM8!M1</f>
        <v>INTEL 8HEX format</v>
      </c>
      <c r="T17" s="29"/>
      <c r="W17" s="43"/>
      <c r="X17" s="193" t="str">
        <f t="shared" si="5"/>
        <v xml:space="preserve">45         ;6167rpm | 14° | 0,97ms </v>
      </c>
      <c r="Y17" s="193"/>
      <c r="Z17" s="193"/>
    </row>
    <row r="18" spans="2:26" ht="12.75" customHeight="1">
      <c r="B18" s="2">
        <f t="shared" si="8"/>
        <v>20</v>
      </c>
      <c r="C18" s="73">
        <f t="shared" si="0"/>
        <v>48.825000000000003</v>
      </c>
      <c r="D18" s="108">
        <f t="shared" si="1"/>
        <v>5859</v>
      </c>
      <c r="E18" s="81">
        <f t="shared" si="6"/>
        <v>28.446265005404793</v>
      </c>
      <c r="F18" s="92">
        <v>14</v>
      </c>
      <c r="G18" s="83">
        <f t="shared" si="2"/>
        <v>1.0240655401945726</v>
      </c>
      <c r="H18" s="42">
        <f t="shared" si="3"/>
        <v>1024.0655401945726</v>
      </c>
      <c r="I18" s="42">
        <f t="shared" si="9"/>
        <v>953</v>
      </c>
      <c r="J18" s="90">
        <f t="shared" si="7"/>
        <v>47</v>
      </c>
      <c r="K18" s="200" t="str">
        <f t="shared" si="4"/>
        <v/>
      </c>
      <c r="O18" s="243"/>
      <c r="Q18" s="53" t="str">
        <f>EEPROM8!O1</f>
        <v>RAW format</v>
      </c>
      <c r="T18" s="29"/>
      <c r="W18" s="43"/>
      <c r="X18" s="193" t="str">
        <f t="shared" si="5"/>
        <v xml:space="preserve">47         ;5859rpm | 14° | 1,02ms </v>
      </c>
      <c r="Y18" s="193"/>
      <c r="Z18" s="193"/>
    </row>
    <row r="19" spans="2:26">
      <c r="B19" s="2">
        <f t="shared" si="8"/>
        <v>21</v>
      </c>
      <c r="C19" s="73">
        <f t="shared" si="0"/>
        <v>46.5</v>
      </c>
      <c r="D19" s="108">
        <f t="shared" si="1"/>
        <v>5580</v>
      </c>
      <c r="E19" s="81">
        <f t="shared" si="6"/>
        <v>29.868578255675029</v>
      </c>
      <c r="F19" s="92">
        <v>14</v>
      </c>
      <c r="G19" s="83">
        <f t="shared" si="2"/>
        <v>1.075268817204301</v>
      </c>
      <c r="H19" s="42">
        <f t="shared" si="3"/>
        <v>1075.2688172043011</v>
      </c>
      <c r="I19" s="42">
        <f t="shared" si="9"/>
        <v>1004</v>
      </c>
      <c r="J19" s="90">
        <f t="shared" si="7"/>
        <v>50</v>
      </c>
      <c r="K19" s="200" t="str">
        <f t="shared" si="4"/>
        <v/>
      </c>
      <c r="O19" s="57" t="str">
        <f>EEPROM16!O3</f>
        <v>:020000040000FA</v>
      </c>
      <c r="S19" s="57" t="str">
        <f>EEPROM8!M2</f>
        <v>:020000040000FA</v>
      </c>
      <c r="T19" s="29"/>
      <c r="W19" s="43"/>
      <c r="X19" s="193" t="str">
        <f t="shared" si="5"/>
        <v xml:space="preserve">50         ;5580rpm | 14° | 1,08ms </v>
      </c>
      <c r="Y19" s="193"/>
      <c r="Z19" s="193"/>
    </row>
    <row r="20" spans="2:26">
      <c r="B20" s="2">
        <f t="shared" si="8"/>
        <v>22</v>
      </c>
      <c r="C20" s="73">
        <f t="shared" si="0"/>
        <v>44.383333333333333</v>
      </c>
      <c r="D20" s="108">
        <f t="shared" si="1"/>
        <v>5326</v>
      </c>
      <c r="E20" s="81">
        <f t="shared" si="6"/>
        <v>31.2930279133809</v>
      </c>
      <c r="F20" s="92">
        <v>14</v>
      </c>
      <c r="G20" s="83">
        <f t="shared" si="2"/>
        <v>1.1265490048817124</v>
      </c>
      <c r="H20" s="42">
        <f t="shared" si="3"/>
        <v>1126.5490048817123</v>
      </c>
      <c r="I20" s="42">
        <f t="shared" si="9"/>
        <v>1055</v>
      </c>
      <c r="J20" s="90">
        <f t="shared" si="7"/>
        <v>52</v>
      </c>
      <c r="K20" s="200" t="str">
        <f t="shared" si="4"/>
        <v/>
      </c>
      <c r="O20" s="58" t="str">
        <f>EEPROM16!O4</f>
        <v>:104200001B001D001F0021002200250027002A0000</v>
      </c>
      <c r="Q20" s="57" t="str">
        <f>EEPROM8!O3</f>
        <v>1B 1D 1F 21   22 25 27 2A</v>
      </c>
      <c r="S20" s="58" t="str">
        <f>EEPROM8!M3</f>
        <v>:080000001B1D1F212225272AE8</v>
      </c>
      <c r="T20" s="29"/>
      <c r="W20" s="43"/>
      <c r="X20" s="193" t="str">
        <f t="shared" si="5"/>
        <v xml:space="preserve">52         ;5326rpm | 14° | 1,13ms </v>
      </c>
      <c r="Y20" s="193"/>
      <c r="Z20" s="193"/>
    </row>
    <row r="21" spans="2:26">
      <c r="B21" s="2">
        <f t="shared" si="8"/>
        <v>23</v>
      </c>
      <c r="C21" s="73">
        <f t="shared" si="0"/>
        <v>42.458333333333336</v>
      </c>
      <c r="D21" s="108">
        <f t="shared" si="1"/>
        <v>5095</v>
      </c>
      <c r="E21" s="81">
        <f t="shared" si="6"/>
        <v>32.711808963035658</v>
      </c>
      <c r="F21" s="92">
        <v>14</v>
      </c>
      <c r="G21" s="83">
        <f t="shared" si="2"/>
        <v>1.1776251226692838</v>
      </c>
      <c r="H21" s="42">
        <f t="shared" si="3"/>
        <v>1177.6251226692837</v>
      </c>
      <c r="I21" s="42">
        <f t="shared" si="9"/>
        <v>1106</v>
      </c>
      <c r="J21" s="90">
        <f t="shared" si="7"/>
        <v>55</v>
      </c>
      <c r="K21" s="200" t="str">
        <f t="shared" si="4"/>
        <v/>
      </c>
      <c r="O21" s="58" t="str">
        <f>EEPROM16!O5</f>
        <v>:104210002D002F0032003400370039003C003F0053</v>
      </c>
      <c r="Q21" s="58" t="str">
        <f>EEPROM8!O4</f>
        <v>2D 2F 32 34   37 39 3C 3F</v>
      </c>
      <c r="S21" s="58" t="str">
        <f>EEPROM8!M4</f>
        <v>:080008002D2F323437393C3F43</v>
      </c>
      <c r="T21" s="29"/>
      <c r="W21" s="43"/>
      <c r="X21" s="193" t="str">
        <f t="shared" si="5"/>
        <v xml:space="preserve">55         ;5095rpm | 14° | 1,18ms </v>
      </c>
      <c r="Y21" s="193"/>
      <c r="Z21" s="193"/>
    </row>
    <row r="22" spans="2:26" ht="14.25" customHeight="1">
      <c r="B22" s="2">
        <f t="shared" si="8"/>
        <v>24</v>
      </c>
      <c r="C22" s="73">
        <f t="shared" si="0"/>
        <v>40.68333333333333</v>
      </c>
      <c r="D22" s="108">
        <f t="shared" si="1"/>
        <v>4882</v>
      </c>
      <c r="E22" s="81">
        <f t="shared" si="6"/>
        <v>34.139014065273798</v>
      </c>
      <c r="F22" s="92">
        <v>14</v>
      </c>
      <c r="G22" s="83">
        <f t="shared" si="2"/>
        <v>1.2290045063498567</v>
      </c>
      <c r="H22" s="42">
        <f t="shared" si="3"/>
        <v>1229.0045063498567</v>
      </c>
      <c r="I22" s="42">
        <f t="shared" si="9"/>
        <v>1158</v>
      </c>
      <c r="J22" s="90">
        <f t="shared" si="7"/>
        <v>57</v>
      </c>
      <c r="K22" s="200" t="str">
        <f t="shared" si="4"/>
        <v/>
      </c>
      <c r="M22" s="56" t="s">
        <v>119</v>
      </c>
      <c r="O22" s="58" t="str">
        <f>EEPROM16!O6</f>
        <v>:1042200041004400460049004B004E0050005300A0</v>
      </c>
      <c r="Q22" s="58" t="str">
        <f>EEPROM8!O5</f>
        <v>41 44 46 49   4B 4E 50 53</v>
      </c>
      <c r="S22" s="58" t="str">
        <f>EEPROM8!M5</f>
        <v>:08001000414446494B4E505398</v>
      </c>
      <c r="T22" s="29"/>
      <c r="W22" s="43"/>
      <c r="X22" s="193" t="str">
        <f t="shared" si="5"/>
        <v xml:space="preserve">57         ;4882rpm | 14° | 1,23ms </v>
      </c>
      <c r="Y22" s="193"/>
      <c r="Z22" s="193"/>
    </row>
    <row r="23" spans="2:26">
      <c r="B23" s="2">
        <f t="shared" si="8"/>
        <v>25</v>
      </c>
      <c r="C23" s="73">
        <f t="shared" si="0"/>
        <v>39.05833333333333</v>
      </c>
      <c r="D23" s="108">
        <f t="shared" si="1"/>
        <v>4687</v>
      </c>
      <c r="E23" s="81">
        <f t="shared" si="6"/>
        <v>35.559348552734519</v>
      </c>
      <c r="F23" s="92">
        <v>14</v>
      </c>
      <c r="G23" s="83">
        <f t="shared" si="2"/>
        <v>1.2801365478984426</v>
      </c>
      <c r="H23" s="42">
        <f t="shared" si="3"/>
        <v>1280.1365478984426</v>
      </c>
      <c r="I23" s="42">
        <f t="shared" si="9"/>
        <v>1209</v>
      </c>
      <c r="J23" s="90">
        <f t="shared" si="7"/>
        <v>60</v>
      </c>
      <c r="K23" s="200" t="str">
        <f t="shared" si="4"/>
        <v/>
      </c>
      <c r="O23" s="58" t="str">
        <f>EEPROM16!O7</f>
        <v>:10423000560058005B005D006000620065006700EC</v>
      </c>
      <c r="Q23" s="58" t="str">
        <f>EEPROM8!O6</f>
        <v>56 58 5B 5D   60 62 65 67</v>
      </c>
      <c r="S23" s="58" t="str">
        <f>EEPROM8!M6</f>
        <v>:0800180056585B5D60626567EC</v>
      </c>
      <c r="T23" s="29"/>
      <c r="W23" s="43"/>
      <c r="X23" s="193" t="str">
        <f t="shared" si="5"/>
        <v xml:space="preserve">60         ;4687rpm | 14° | 1,28ms </v>
      </c>
      <c r="Y23" s="193"/>
      <c r="Z23" s="193"/>
    </row>
    <row r="24" spans="2:26">
      <c r="B24" s="2">
        <f t="shared" si="8"/>
        <v>26</v>
      </c>
      <c r="C24" s="73">
        <f t="shared" si="0"/>
        <v>37.55833333333333</v>
      </c>
      <c r="D24" s="108">
        <f t="shared" si="1"/>
        <v>4507</v>
      </c>
      <c r="E24" s="81">
        <f t="shared" si="6"/>
        <v>36.979513349604318</v>
      </c>
      <c r="F24" s="92">
        <v>14</v>
      </c>
      <c r="G24" s="83">
        <f t="shared" si="2"/>
        <v>1.3312624805857554</v>
      </c>
      <c r="H24" s="42">
        <f t="shared" si="3"/>
        <v>1331.2624805857554</v>
      </c>
      <c r="I24" s="42">
        <f t="shared" si="9"/>
        <v>1260</v>
      </c>
      <c r="J24" s="90">
        <f t="shared" si="7"/>
        <v>63</v>
      </c>
      <c r="K24" s="200" t="str">
        <f t="shared" si="4"/>
        <v/>
      </c>
      <c r="L24" s="244" t="s">
        <v>46</v>
      </c>
      <c r="M24" s="119">
        <v>1</v>
      </c>
      <c r="O24" s="58" t="str">
        <f>EEPROM16!O8</f>
        <v>:104240006A006D006F0072007400770079007C0038</v>
      </c>
      <c r="Q24" s="58" t="str">
        <f>EEPROM8!O7</f>
        <v>6A 6D 6F 72   74 77 79 7C</v>
      </c>
      <c r="S24" s="58" t="str">
        <f>EEPROM8!M7</f>
        <v>:080020006A6D6F727477797C40</v>
      </c>
      <c r="T24" s="29"/>
      <c r="W24" s="43"/>
      <c r="X24" s="193" t="str">
        <f t="shared" si="5"/>
        <v xml:space="preserve">63         ;4507rpm | 14° | 1,33ms </v>
      </c>
      <c r="Y24" s="193"/>
      <c r="Z24" s="193"/>
    </row>
    <row r="25" spans="2:26">
      <c r="B25" s="2">
        <f t="shared" si="8"/>
        <v>27</v>
      </c>
      <c r="C25" s="73">
        <f t="shared" si="0"/>
        <v>36.166666666666664</v>
      </c>
      <c r="D25" s="108">
        <f t="shared" si="1"/>
        <v>4340</v>
      </c>
      <c r="E25" s="81">
        <f t="shared" si="6"/>
        <v>38.402457757296467</v>
      </c>
      <c r="F25" s="92">
        <v>14</v>
      </c>
      <c r="G25" s="83">
        <f t="shared" si="2"/>
        <v>1.3824884792626728</v>
      </c>
      <c r="H25" s="42">
        <f t="shared" si="3"/>
        <v>1382.4884792626729</v>
      </c>
      <c r="I25" s="42">
        <f t="shared" si="9"/>
        <v>1311</v>
      </c>
      <c r="J25" s="90">
        <f t="shared" si="7"/>
        <v>65</v>
      </c>
      <c r="K25" s="200" t="str">
        <f t="shared" si="4"/>
        <v/>
      </c>
      <c r="L25" s="53"/>
      <c r="M25" s="246">
        <f>IF(M26="4 no wasted spark",4,2)</f>
        <v>4</v>
      </c>
      <c r="O25" s="58" t="str">
        <f>EEPROM16!O9</f>
        <v>:104250007F0081008400860089008B008E00900084</v>
      </c>
      <c r="Q25" s="58" t="str">
        <f>EEPROM8!O8</f>
        <v>7F 81 84 86   89 8B 8E 90</v>
      </c>
      <c r="S25" s="58" t="str">
        <f>EEPROM8!M8</f>
        <v>:080028007F818486898B8E9094</v>
      </c>
      <c r="T25" s="29"/>
      <c r="W25" s="43"/>
      <c r="X25" s="193" t="str">
        <f t="shared" si="5"/>
        <v xml:space="preserve">65         ;4340rpm | 14° | 1,38ms </v>
      </c>
      <c r="Y25" s="193"/>
      <c r="Z25" s="193"/>
    </row>
    <row r="26" spans="2:26">
      <c r="B26" s="2">
        <f t="shared" si="8"/>
        <v>28</v>
      </c>
      <c r="C26" s="73">
        <f t="shared" si="0"/>
        <v>34.875</v>
      </c>
      <c r="D26" s="108">
        <f t="shared" si="1"/>
        <v>4185</v>
      </c>
      <c r="E26" s="81">
        <f t="shared" si="6"/>
        <v>39.82477100756671</v>
      </c>
      <c r="F26" s="92">
        <v>14</v>
      </c>
      <c r="G26" s="83">
        <f t="shared" si="2"/>
        <v>1.4336917562724016</v>
      </c>
      <c r="H26" s="42">
        <f t="shared" si="3"/>
        <v>1433.6917562724016</v>
      </c>
      <c r="I26" s="42">
        <f t="shared" si="9"/>
        <v>1362</v>
      </c>
      <c r="J26" s="90">
        <f t="shared" si="7"/>
        <v>68</v>
      </c>
      <c r="K26" s="200" t="str">
        <f t="shared" si="4"/>
        <v/>
      </c>
      <c r="L26" s="244" t="s">
        <v>281</v>
      </c>
      <c r="M26" s="103" t="s">
        <v>283</v>
      </c>
      <c r="O26" s="58" t="str">
        <f>EEPROM16!O10</f>
        <v>:104260009300960098009B009D00A000A200A500D0</v>
      </c>
      <c r="Q26" s="58" t="str">
        <f>EEPROM8!O9</f>
        <v>93 96 98 9B   9D A0 A2 A5</v>
      </c>
      <c r="S26" s="58" t="str">
        <f>EEPROM8!M9</f>
        <v>:080030009396989B9DA0A2A5E8</v>
      </c>
      <c r="T26" s="29"/>
      <c r="W26" s="43"/>
      <c r="X26" s="193" t="str">
        <f t="shared" si="5"/>
        <v xml:space="preserve">68         ;4185rpm | 14° | 1,43ms </v>
      </c>
      <c r="Y26" s="193"/>
      <c r="Z26" s="193"/>
    </row>
    <row r="27" spans="2:26">
      <c r="B27" s="2">
        <f t="shared" si="8"/>
        <v>29</v>
      </c>
      <c r="C27" s="73">
        <f t="shared" si="0"/>
        <v>33.666666666666664</v>
      </c>
      <c r="D27" s="108">
        <f t="shared" si="1"/>
        <v>4040</v>
      </c>
      <c r="E27" s="81">
        <f t="shared" si="6"/>
        <v>41.254125412541256</v>
      </c>
      <c r="F27" s="92">
        <v>14</v>
      </c>
      <c r="G27" s="83">
        <f t="shared" si="2"/>
        <v>1.4851485148514854</v>
      </c>
      <c r="H27" s="42">
        <f t="shared" si="3"/>
        <v>1485.1485148514853</v>
      </c>
      <c r="I27" s="42">
        <f t="shared" si="9"/>
        <v>1414</v>
      </c>
      <c r="J27" s="90">
        <f t="shared" si="7"/>
        <v>70</v>
      </c>
      <c r="K27" s="200" t="str">
        <f t="shared" si="4"/>
        <v/>
      </c>
      <c r="M27" s="93"/>
      <c r="O27" s="58" t="str">
        <f>EEPROM16!O11</f>
        <v>:10427000A700AA00AD00AF00B200B400B700B9001D</v>
      </c>
      <c r="Q27" s="58" t="str">
        <f>EEPROM8!O10</f>
        <v>A7 AA AD AF   B2 B4 B7 B9</v>
      </c>
      <c r="S27" s="58" t="str">
        <f>EEPROM8!M10</f>
        <v>:08003800A7AAADAFB2B4B7B93D</v>
      </c>
      <c r="T27" s="29"/>
      <c r="W27" s="43"/>
      <c r="X27" s="193" t="str">
        <f t="shared" si="5"/>
        <v xml:space="preserve">70         ;4040rpm | 14° | 1,49ms </v>
      </c>
      <c r="Y27" s="193"/>
      <c r="Z27" s="193"/>
    </row>
    <row r="28" spans="2:26">
      <c r="B28" s="2">
        <f t="shared" si="8"/>
        <v>30</v>
      </c>
      <c r="C28" s="73">
        <f t="shared" si="0"/>
        <v>32.549999999999997</v>
      </c>
      <c r="D28" s="108">
        <f t="shared" si="1"/>
        <v>3906</v>
      </c>
      <c r="E28" s="81">
        <f t="shared" si="6"/>
        <v>42.669397508107181</v>
      </c>
      <c r="F28" s="92">
        <v>14</v>
      </c>
      <c r="G28" s="83">
        <f t="shared" si="2"/>
        <v>1.5360983102918586</v>
      </c>
      <c r="H28" s="42">
        <f t="shared" si="3"/>
        <v>1536.0983102918585</v>
      </c>
      <c r="I28" s="42">
        <f t="shared" si="9"/>
        <v>1465</v>
      </c>
      <c r="J28" s="90">
        <f t="shared" si="7"/>
        <v>73</v>
      </c>
      <c r="K28" s="200" t="str">
        <f t="shared" si="4"/>
        <v/>
      </c>
      <c r="O28" s="58" t="str">
        <f>EEPROM16!O12</f>
        <v>:10428000BC00BF00C100C400C600C900CB00CE0068</v>
      </c>
      <c r="Q28" s="58" t="str">
        <f>EEPROM8!O11</f>
        <v>BC BF C1 C4   C6 C9 CB CE</v>
      </c>
      <c r="S28" s="58" t="str">
        <f>EEPROM8!M11</f>
        <v>:08004000BCBFC1C4C6C9CBCE90</v>
      </c>
      <c r="T28" s="29"/>
      <c r="W28" s="43"/>
      <c r="X28" s="193" t="str">
        <f t="shared" si="5"/>
        <v xml:space="preserve">73         ;3906rpm | 14° | 1,54ms </v>
      </c>
      <c r="Y28" s="193"/>
      <c r="Z28" s="193"/>
    </row>
    <row r="29" spans="2:26">
      <c r="B29" s="2">
        <f t="shared" si="8"/>
        <v>31</v>
      </c>
      <c r="C29" s="73">
        <f t="shared" si="0"/>
        <v>31.5</v>
      </c>
      <c r="D29" s="108">
        <f t="shared" si="1"/>
        <v>3780</v>
      </c>
      <c r="E29" s="81">
        <f t="shared" si="6"/>
        <v>44.091710758377424</v>
      </c>
      <c r="F29" s="92">
        <v>14</v>
      </c>
      <c r="G29" s="83">
        <f t="shared" si="2"/>
        <v>1.5873015873015872</v>
      </c>
      <c r="H29" s="42">
        <f t="shared" si="3"/>
        <v>1587.3015873015872</v>
      </c>
      <c r="I29" s="42">
        <f t="shared" si="9"/>
        <v>1516</v>
      </c>
      <c r="J29" s="90">
        <f t="shared" si="7"/>
        <v>75</v>
      </c>
      <c r="K29" s="200" t="str">
        <f t="shared" si="4"/>
        <v/>
      </c>
      <c r="O29" s="58" t="str">
        <f>EEPROM16!O13</f>
        <v>:10429000D100D300D600D800DB00DD00E000E200B4</v>
      </c>
      <c r="Q29" s="58" t="str">
        <f>EEPROM8!O12</f>
        <v>D1 D3 D6 D8   DB DD E0 E2</v>
      </c>
      <c r="S29" s="58" t="str">
        <f>EEPROM8!M12</f>
        <v>:08004800D1D3D6D8DBDDE0E2E4</v>
      </c>
      <c r="T29" s="29"/>
      <c r="W29" s="43"/>
      <c r="X29" s="193" t="str">
        <f t="shared" si="5"/>
        <v xml:space="preserve">75         ;3780rpm | 14° | 1,59ms </v>
      </c>
      <c r="Y29" s="193"/>
      <c r="Z29" s="193"/>
    </row>
    <row r="30" spans="2:26">
      <c r="B30" s="2">
        <f t="shared" si="8"/>
        <v>32</v>
      </c>
      <c r="C30" s="73">
        <f t="shared" si="0"/>
        <v>30.516666666666666</v>
      </c>
      <c r="D30" s="108">
        <f t="shared" si="1"/>
        <v>3662</v>
      </c>
      <c r="E30" s="81">
        <f t="shared" si="6"/>
        <v>45.512470416894232</v>
      </c>
      <c r="F30" s="92">
        <v>14</v>
      </c>
      <c r="G30" s="83">
        <f t="shared" si="2"/>
        <v>1.6384489350081923</v>
      </c>
      <c r="H30" s="42">
        <f t="shared" si="3"/>
        <v>1638.4489350081924</v>
      </c>
      <c r="I30" s="42">
        <f t="shared" si="9"/>
        <v>1567</v>
      </c>
      <c r="J30" s="90">
        <f t="shared" si="7"/>
        <v>78</v>
      </c>
      <c r="K30" s="200" t="str">
        <f t="shared" si="4"/>
        <v/>
      </c>
      <c r="L30" s="52" t="s">
        <v>0</v>
      </c>
      <c r="M30" s="119">
        <v>2</v>
      </c>
      <c r="O30" s="58" t="str">
        <f>EEPROM16!O14</f>
        <v>:1042A000E500E800EA00ED00EF00F200F400F70000</v>
      </c>
      <c r="Q30" s="58" t="str">
        <f>EEPROM8!O13</f>
        <v>E5 E8 EA ED   EF F2 F4 F7</v>
      </c>
      <c r="S30" s="58" t="str">
        <f>EEPROM8!M13</f>
        <v>:08005000E5E8EAEDEFF2F4F738</v>
      </c>
      <c r="T30" s="29"/>
      <c r="W30" s="43"/>
      <c r="X30" s="193" t="str">
        <f t="shared" si="5"/>
        <v xml:space="preserve">78         ;3662rpm | 14° | 1,64ms </v>
      </c>
      <c r="Y30" s="193"/>
      <c r="Z30" s="193"/>
    </row>
    <row r="31" spans="2:26">
      <c r="B31" s="2">
        <f t="shared" si="8"/>
        <v>33</v>
      </c>
      <c r="C31" s="73">
        <f t="shared" si="0"/>
        <v>29.591666666666665</v>
      </c>
      <c r="D31" s="108">
        <f t="shared" si="1"/>
        <v>3551</v>
      </c>
      <c r="E31" s="81">
        <f t="shared" si="6"/>
        <v>46.935135642542008</v>
      </c>
      <c r="F31" s="92">
        <v>14</v>
      </c>
      <c r="G31" s="83">
        <f t="shared" si="2"/>
        <v>1.6896648831315124</v>
      </c>
      <c r="H31" s="42">
        <f t="shared" si="3"/>
        <v>1689.6648831315124</v>
      </c>
      <c r="I31" s="42">
        <f t="shared" si="9"/>
        <v>1618</v>
      </c>
      <c r="J31" s="90">
        <f t="shared" si="7"/>
        <v>80</v>
      </c>
      <c r="K31" s="200" t="str">
        <f t="shared" si="4"/>
        <v/>
      </c>
      <c r="O31" s="58" t="str">
        <f>EEPROM16!O15</f>
        <v>:1042B000FA00FC00FF00FF00FF00FF00FF0000006F</v>
      </c>
      <c r="Q31" s="58" t="str">
        <f>EEPROM8!O14</f>
        <v>FA FC FF FF   FF FF FF 00</v>
      </c>
      <c r="S31" s="58" t="str">
        <f>EEPROM8!M14</f>
        <v>:08005800FAFCFFFFFFFFFF00AF</v>
      </c>
      <c r="T31" s="29"/>
      <c r="W31" s="43"/>
      <c r="X31" s="193" t="str">
        <f t="shared" si="5"/>
        <v xml:space="preserve">80         ;3551rpm | 14° | 1,69ms </v>
      </c>
      <c r="Y31" s="193"/>
      <c r="Z31" s="193"/>
    </row>
    <row r="32" spans="2:26">
      <c r="B32" s="2">
        <f t="shared" si="8"/>
        <v>34</v>
      </c>
      <c r="C32" s="73">
        <f t="shared" si="0"/>
        <v>28.716666666666665</v>
      </c>
      <c r="D32" s="108">
        <f t="shared" si="1"/>
        <v>3446</v>
      </c>
      <c r="E32" s="81">
        <f t="shared" si="6"/>
        <v>48.365254401238154</v>
      </c>
      <c r="F32" s="92">
        <v>14</v>
      </c>
      <c r="G32" s="83">
        <f t="shared" si="2"/>
        <v>1.7411491584445735</v>
      </c>
      <c r="H32" s="42">
        <f t="shared" si="3"/>
        <v>1741.1491584445735</v>
      </c>
      <c r="I32" s="42">
        <f t="shared" si="9"/>
        <v>1670</v>
      </c>
      <c r="J32" s="90">
        <f t="shared" si="7"/>
        <v>83</v>
      </c>
      <c r="K32" s="200" t="str">
        <f t="shared" si="4"/>
        <v/>
      </c>
      <c r="L32" s="27" t="s">
        <v>158</v>
      </c>
      <c r="M32" s="245" t="s">
        <v>261</v>
      </c>
      <c r="N32" s="27" t="s">
        <v>78</v>
      </c>
      <c r="O32" s="58" t="str">
        <f>EEPROM16!O16</f>
        <v>:1042C0000000000000000000000000000000000050</v>
      </c>
      <c r="Q32" s="58" t="str">
        <f>EEPROM8!O15</f>
        <v>00 00 00 00   00 00 00 00</v>
      </c>
      <c r="S32" s="58" t="str">
        <f>EEPROM8!M15</f>
        <v>:08006000000000000000000098</v>
      </c>
      <c r="T32" s="29"/>
      <c r="W32" s="43"/>
      <c r="X32" s="193" t="str">
        <f t="shared" si="5"/>
        <v xml:space="preserve">83         ;3446rpm | 14° | 1,74ms </v>
      </c>
      <c r="Y32" s="193"/>
      <c r="Z32" s="193"/>
    </row>
    <row r="33" spans="2:26">
      <c r="B33" s="2">
        <f t="shared" si="8"/>
        <v>35</v>
      </c>
      <c r="C33" s="73">
        <f t="shared" si="0"/>
        <v>27.9</v>
      </c>
      <c r="D33" s="108">
        <f t="shared" si="1"/>
        <v>3348</v>
      </c>
      <c r="E33" s="81">
        <f t="shared" si="6"/>
        <v>49.780963759458388</v>
      </c>
      <c r="F33" s="92">
        <v>14</v>
      </c>
      <c r="G33" s="83">
        <f t="shared" si="2"/>
        <v>1.7921146953405018</v>
      </c>
      <c r="H33" s="42">
        <f t="shared" si="3"/>
        <v>1792.1146953405018</v>
      </c>
      <c r="I33" s="42">
        <f t="shared" si="9"/>
        <v>1721</v>
      </c>
      <c r="J33" s="90">
        <f t="shared" si="7"/>
        <v>86</v>
      </c>
      <c r="K33" s="200" t="str">
        <f t="shared" si="4"/>
        <v/>
      </c>
      <c r="O33" s="58" t="str">
        <f>EEPROM16!O17</f>
        <v>:1042D0000000000000000000000000000000000040</v>
      </c>
      <c r="Q33" s="58" t="str">
        <f>EEPROM8!O16</f>
        <v>00 00 00 00   00 00 00 00</v>
      </c>
      <c r="S33" s="58" t="str">
        <f>EEPROM8!M16</f>
        <v>:08006800000000000000000090</v>
      </c>
      <c r="T33" s="29"/>
      <c r="W33" s="43"/>
      <c r="X33" s="193" t="str">
        <f t="shared" si="5"/>
        <v xml:space="preserve">86         ;3348rpm | 14° | 1,79ms </v>
      </c>
      <c r="Y33" s="193"/>
      <c r="Z33" s="193"/>
    </row>
    <row r="34" spans="2:26">
      <c r="B34" s="2">
        <f t="shared" si="8"/>
        <v>36</v>
      </c>
      <c r="C34" s="73">
        <f t="shared" si="0"/>
        <v>27.125</v>
      </c>
      <c r="D34" s="108">
        <f t="shared" si="1"/>
        <v>3255</v>
      </c>
      <c r="E34" s="81">
        <f t="shared" si="6"/>
        <v>51.203277009728623</v>
      </c>
      <c r="F34" s="92">
        <v>14</v>
      </c>
      <c r="G34" s="83">
        <f t="shared" si="2"/>
        <v>1.8433179723502304</v>
      </c>
      <c r="H34" s="42">
        <f t="shared" si="3"/>
        <v>1843.3179723502303</v>
      </c>
      <c r="I34" s="42">
        <f t="shared" si="9"/>
        <v>1772</v>
      </c>
      <c r="J34" s="90">
        <f t="shared" si="7"/>
        <v>88</v>
      </c>
      <c r="K34" s="200" t="str">
        <f t="shared" si="4"/>
        <v/>
      </c>
      <c r="L34" s="27" t="s">
        <v>217</v>
      </c>
      <c r="M34" s="245">
        <v>9765</v>
      </c>
      <c r="N34" s="32" t="s">
        <v>2</v>
      </c>
      <c r="O34" s="58" t="str">
        <f>EEPROM16!O18</f>
        <v>:1042E0004F0014000200320014001400140001005C</v>
      </c>
      <c r="Q34" s="58" t="str">
        <f>EEPROM8!O17</f>
        <v>4F 14 02 32   14 14 14 01</v>
      </c>
      <c r="S34" s="58" t="str">
        <f>EEPROM8!M17</f>
        <v>:080070004F14023214141401B4</v>
      </c>
      <c r="T34" s="29"/>
      <c r="W34" s="43"/>
      <c r="X34" s="193" t="str">
        <f t="shared" si="5"/>
        <v xml:space="preserve">88         ;3255rpm | 14° | 1,84ms </v>
      </c>
      <c r="Y34" s="193"/>
      <c r="Z34" s="193"/>
    </row>
    <row r="35" spans="2:26">
      <c r="B35" s="2">
        <f t="shared" si="8"/>
        <v>37</v>
      </c>
      <c r="C35" s="73">
        <f t="shared" si="0"/>
        <v>26.391666666666666</v>
      </c>
      <c r="D35" s="108">
        <f t="shared" si="1"/>
        <v>3167</v>
      </c>
      <c r="E35" s="81">
        <f t="shared" si="6"/>
        <v>52.626039364277446</v>
      </c>
      <c r="F35" s="92">
        <v>14</v>
      </c>
      <c r="G35" s="83">
        <f t="shared" si="2"/>
        <v>1.8945374171139882</v>
      </c>
      <c r="H35" s="42">
        <f t="shared" si="3"/>
        <v>1894.5374171139881</v>
      </c>
      <c r="I35" s="42">
        <f t="shared" si="9"/>
        <v>1823</v>
      </c>
      <c r="J35" s="90">
        <f t="shared" si="7"/>
        <v>91</v>
      </c>
      <c r="K35" s="200" t="str">
        <f t="shared" si="4"/>
        <v/>
      </c>
      <c r="M35" s="246">
        <f>IF(M36="no",0,1)</f>
        <v>1</v>
      </c>
      <c r="O35" s="58" t="str">
        <f>EEPROM16!O19</f>
        <v>:1042F00012000C00630002000F0014000B00690006</v>
      </c>
      <c r="Q35" s="59" t="str">
        <f>EEPROM8!O18</f>
        <v>12 0C 63 02   0F 14 0B 69</v>
      </c>
      <c r="S35" s="58" t="str">
        <f>EEPROM8!M18</f>
        <v>:08007800120C63020F140B6966</v>
      </c>
      <c r="T35" s="29"/>
      <c r="W35" s="43"/>
      <c r="X35" s="193" t="str">
        <f t="shared" si="5"/>
        <v xml:space="preserve">91         ;3167rpm | 14° | 1,89ms </v>
      </c>
      <c r="Y35" s="193"/>
      <c r="Z35" s="193"/>
    </row>
    <row r="36" spans="2:26">
      <c r="B36" s="2">
        <f t="shared" si="8"/>
        <v>38</v>
      </c>
      <c r="C36" s="73">
        <f t="shared" si="0"/>
        <v>25.691666666666666</v>
      </c>
      <c r="D36" s="108">
        <f t="shared" si="1"/>
        <v>3083</v>
      </c>
      <c r="E36" s="81">
        <f t="shared" si="6"/>
        <v>54.059898367391071</v>
      </c>
      <c r="F36" s="92">
        <v>14</v>
      </c>
      <c r="G36" s="83">
        <f t="shared" si="2"/>
        <v>1.9461563412260785</v>
      </c>
      <c r="H36" s="42">
        <f t="shared" si="3"/>
        <v>1946.1563412260784</v>
      </c>
      <c r="I36" s="42">
        <f t="shared" si="9"/>
        <v>1875</v>
      </c>
      <c r="J36" s="90">
        <f t="shared" si="7"/>
        <v>93</v>
      </c>
      <c r="K36" s="200" t="str">
        <f t="shared" si="4"/>
        <v/>
      </c>
      <c r="L36" s="27" t="s">
        <v>286</v>
      </c>
      <c r="M36" s="245" t="s">
        <v>287</v>
      </c>
      <c r="O36" s="59" t="str">
        <f>EEPROM16!O20</f>
        <v>:00000001FF</v>
      </c>
      <c r="S36" s="59" t="str">
        <f>EEPROM8!M19</f>
        <v>:00000001FF</v>
      </c>
      <c r="T36" s="29"/>
      <c r="W36" s="43"/>
      <c r="X36" s="193" t="str">
        <f t="shared" si="5"/>
        <v xml:space="preserve">93         ;3083rpm | 14° | 1,95ms </v>
      </c>
      <c r="Y36" s="193"/>
      <c r="Z36" s="193"/>
    </row>
    <row r="37" spans="2:26">
      <c r="B37" s="2">
        <f t="shared" si="8"/>
        <v>39</v>
      </c>
      <c r="C37" s="73">
        <f t="shared" si="0"/>
        <v>25.033333333333335</v>
      </c>
      <c r="D37" s="108">
        <f t="shared" si="1"/>
        <v>3004</v>
      </c>
      <c r="E37" s="81">
        <f t="shared" si="6"/>
        <v>55.481580115401691</v>
      </c>
      <c r="F37" s="92">
        <v>14</v>
      </c>
      <c r="G37" s="83">
        <f t="shared" si="2"/>
        <v>1.997336884154461</v>
      </c>
      <c r="H37" s="42">
        <f t="shared" si="3"/>
        <v>1997.3368841544609</v>
      </c>
      <c r="I37" s="42">
        <f t="shared" si="9"/>
        <v>1926</v>
      </c>
      <c r="J37" s="90">
        <f t="shared" si="7"/>
        <v>96</v>
      </c>
      <c r="K37" s="200" t="str">
        <f t="shared" si="4"/>
        <v/>
      </c>
      <c r="T37" s="29"/>
      <c r="W37" s="43"/>
      <c r="X37" s="193" t="str">
        <f t="shared" si="5"/>
        <v xml:space="preserve">96         ;3004rpm | 14° | 2ms </v>
      </c>
      <c r="Y37" s="193"/>
      <c r="Z37" s="193"/>
    </row>
    <row r="38" spans="2:26">
      <c r="B38" s="2">
        <f t="shared" si="8"/>
        <v>40</v>
      </c>
      <c r="C38" s="73">
        <f t="shared" si="0"/>
        <v>24.408333333333335</v>
      </c>
      <c r="D38" s="108">
        <f t="shared" si="1"/>
        <v>2929</v>
      </c>
      <c r="E38" s="81">
        <f t="shared" si="6"/>
        <v>56.902241948332758</v>
      </c>
      <c r="F38" s="92">
        <v>14</v>
      </c>
      <c r="G38" s="83">
        <f t="shared" si="2"/>
        <v>2.0484807101399793</v>
      </c>
      <c r="H38" s="42">
        <f t="shared" si="3"/>
        <v>2048.4807101399792</v>
      </c>
      <c r="I38" s="42">
        <f t="shared" si="9"/>
        <v>1977</v>
      </c>
      <c r="J38" s="90">
        <f t="shared" si="7"/>
        <v>98</v>
      </c>
      <c r="K38" s="200" t="str">
        <f t="shared" si="4"/>
        <v/>
      </c>
      <c r="S38" s="27"/>
      <c r="T38" s="29"/>
      <c r="W38" s="43"/>
      <c r="X38" s="193" t="str">
        <f t="shared" si="5"/>
        <v xml:space="preserve">98         ;2929rpm | 14° | 2,05ms </v>
      </c>
      <c r="Y38" s="193"/>
      <c r="Z38" s="193"/>
    </row>
    <row r="39" spans="2:26">
      <c r="B39" s="2">
        <f t="shared" si="8"/>
        <v>41</v>
      </c>
      <c r="C39" s="73">
        <f t="shared" si="0"/>
        <v>23.816666666666666</v>
      </c>
      <c r="D39" s="108">
        <f t="shared" si="1"/>
        <v>2858</v>
      </c>
      <c r="E39" s="81">
        <f t="shared" si="6"/>
        <v>58.315838581758804</v>
      </c>
      <c r="F39" s="92">
        <v>14</v>
      </c>
      <c r="G39" s="83">
        <f t="shared" si="2"/>
        <v>2.099370188943317</v>
      </c>
      <c r="H39" s="42">
        <f t="shared" si="3"/>
        <v>2099.3701889433169</v>
      </c>
      <c r="I39" s="42">
        <f t="shared" si="9"/>
        <v>2028</v>
      </c>
      <c r="J39" s="90">
        <f t="shared" si="7"/>
        <v>101</v>
      </c>
      <c r="K39" s="200" t="str">
        <f t="shared" si="4"/>
        <v/>
      </c>
      <c r="S39" s="27"/>
      <c r="T39" s="29"/>
      <c r="W39" s="43"/>
      <c r="X39" s="193" t="str">
        <f t="shared" si="5"/>
        <v xml:space="preserve">101         ;2858rpm | 14° | 2,1ms </v>
      </c>
      <c r="Y39" s="193"/>
      <c r="Z39" s="193"/>
    </row>
    <row r="40" spans="2:26">
      <c r="B40" s="2">
        <f t="shared" si="8"/>
        <v>42</v>
      </c>
      <c r="C40" s="73">
        <f t="shared" si="0"/>
        <v>23.25</v>
      </c>
      <c r="D40" s="108">
        <f t="shared" si="1"/>
        <v>2790</v>
      </c>
      <c r="E40" s="81">
        <f t="shared" si="6"/>
        <v>59.737156511350058</v>
      </c>
      <c r="F40" s="92">
        <v>14</v>
      </c>
      <c r="G40" s="83">
        <f t="shared" si="2"/>
        <v>2.150537634408602</v>
      </c>
      <c r="H40" s="42">
        <f t="shared" si="3"/>
        <v>2150.5376344086021</v>
      </c>
      <c r="I40" s="42">
        <f t="shared" si="9"/>
        <v>2079</v>
      </c>
      <c r="J40" s="90">
        <f t="shared" si="7"/>
        <v>103</v>
      </c>
      <c r="K40" s="200" t="str">
        <f t="shared" si="4"/>
        <v/>
      </c>
      <c r="S40" s="27"/>
      <c r="T40" s="29"/>
      <c r="W40" s="43"/>
      <c r="X40" s="193" t="str">
        <f t="shared" si="5"/>
        <v xml:space="preserve">103         ;2790rpm | 14° | 2,15ms </v>
      </c>
      <c r="Y40" s="193"/>
      <c r="Z40" s="193"/>
    </row>
    <row r="41" spans="2:26">
      <c r="B41" s="2">
        <f t="shared" si="8"/>
        <v>43</v>
      </c>
      <c r="C41" s="73">
        <f t="shared" ref="C41:C72" si="10">(2*$M$24*D41)/(60*$M$25)</f>
        <v>22.708333333333332</v>
      </c>
      <c r="D41" s="108">
        <f t="shared" ref="D41:D72" si="11">INT((60*1000000)/((B41*256)*(1/(1/$M$30))))</f>
        <v>2725</v>
      </c>
      <c r="E41" s="81">
        <f t="shared" si="6"/>
        <v>61.162079510703357</v>
      </c>
      <c r="F41" s="92">
        <v>14</v>
      </c>
      <c r="G41" s="83">
        <f t="shared" ref="G41:G72" si="12">(E41*($F$5-F41))/1000</f>
        <v>2.2018348623853208</v>
      </c>
      <c r="H41" s="42">
        <f t="shared" ref="H41:H72" si="13">E41*($F$5-F41)</f>
        <v>2201.8348623853208</v>
      </c>
      <c r="I41" s="42">
        <f t="shared" si="9"/>
        <v>2130</v>
      </c>
      <c r="J41" s="90">
        <f t="shared" si="7"/>
        <v>106</v>
      </c>
      <c r="K41" s="200" t="str">
        <f t="shared" si="4"/>
        <v/>
      </c>
      <c r="S41" s="27"/>
      <c r="T41" s="29"/>
      <c r="W41" s="43"/>
      <c r="X41" s="193" t="str">
        <f t="shared" ref="X41:X72" si="14">CONCATENATE(J41,"         ;",ROUND(D41,0),"rpm | ",ROUND(F41,1),"° | ",,ROUND(G41,2),"ms ")</f>
        <v xml:space="preserve">106         ;2725rpm | 14° | 2,2ms </v>
      </c>
      <c r="Y41" s="193"/>
      <c r="Z41" s="193"/>
    </row>
    <row r="42" spans="2:26">
      <c r="B42" s="2">
        <f t="shared" si="8"/>
        <v>44</v>
      </c>
      <c r="C42" s="73">
        <f t="shared" si="10"/>
        <v>22.191666666666666</v>
      </c>
      <c r="D42" s="108">
        <f t="shared" si="11"/>
        <v>2663</v>
      </c>
      <c r="E42" s="81">
        <f t="shared" si="6"/>
        <v>62.5860558267618</v>
      </c>
      <c r="F42" s="92">
        <v>14</v>
      </c>
      <c r="G42" s="83">
        <f t="shared" si="12"/>
        <v>2.2530980097634248</v>
      </c>
      <c r="H42" s="42">
        <f t="shared" si="13"/>
        <v>2253.0980097634247</v>
      </c>
      <c r="I42" s="42">
        <f t="shared" si="9"/>
        <v>2182</v>
      </c>
      <c r="J42" s="90">
        <f t="shared" si="7"/>
        <v>109</v>
      </c>
      <c r="K42" s="200" t="str">
        <f t="shared" si="4"/>
        <v/>
      </c>
      <c r="S42" s="27"/>
      <c r="T42" s="29"/>
      <c r="W42" s="43"/>
      <c r="X42" s="193" t="str">
        <f t="shared" si="14"/>
        <v xml:space="preserve">109         ;2663rpm | 14° | 2,25ms </v>
      </c>
      <c r="Y42" s="193"/>
      <c r="Z42" s="193"/>
    </row>
    <row r="43" spans="2:26">
      <c r="B43" s="2">
        <f t="shared" si="8"/>
        <v>45</v>
      </c>
      <c r="C43" s="73">
        <f t="shared" si="10"/>
        <v>21.7</v>
      </c>
      <c r="D43" s="108">
        <f t="shared" si="11"/>
        <v>2604</v>
      </c>
      <c r="E43" s="81">
        <f t="shared" si="6"/>
        <v>64.004096262160786</v>
      </c>
      <c r="F43" s="92">
        <v>14</v>
      </c>
      <c r="G43" s="83">
        <f t="shared" si="12"/>
        <v>2.3041474654377883</v>
      </c>
      <c r="H43" s="42">
        <f t="shared" si="13"/>
        <v>2304.1474654377885</v>
      </c>
      <c r="I43" s="42">
        <f t="shared" si="9"/>
        <v>2233</v>
      </c>
      <c r="J43" s="90">
        <f t="shared" si="7"/>
        <v>111</v>
      </c>
      <c r="K43" s="200" t="str">
        <f t="shared" si="4"/>
        <v/>
      </c>
      <c r="S43" s="27"/>
      <c r="T43" s="29"/>
      <c r="W43" s="43"/>
      <c r="X43" s="193" t="str">
        <f t="shared" si="14"/>
        <v xml:space="preserve">111         ;2604rpm | 14° | 2,3ms </v>
      </c>
      <c r="Y43" s="193"/>
      <c r="Z43" s="193"/>
    </row>
    <row r="44" spans="2:26">
      <c r="B44" s="2">
        <f t="shared" si="8"/>
        <v>46</v>
      </c>
      <c r="C44" s="73">
        <f t="shared" si="10"/>
        <v>21.225000000000001</v>
      </c>
      <c r="D44" s="108">
        <f t="shared" si="11"/>
        <v>2547</v>
      </c>
      <c r="E44" s="81">
        <f t="shared" si="6"/>
        <v>65.436461196178499</v>
      </c>
      <c r="F44" s="92">
        <v>14</v>
      </c>
      <c r="G44" s="83">
        <f t="shared" si="12"/>
        <v>2.3557126030624258</v>
      </c>
      <c r="H44" s="42">
        <f t="shared" si="13"/>
        <v>2355.7126030624258</v>
      </c>
      <c r="I44" s="42">
        <f t="shared" si="9"/>
        <v>2284</v>
      </c>
      <c r="J44" s="90">
        <f t="shared" si="7"/>
        <v>114</v>
      </c>
      <c r="K44" s="200" t="str">
        <f t="shared" si="4"/>
        <v/>
      </c>
      <c r="S44" s="27"/>
      <c r="T44" s="29"/>
      <c r="W44" s="43"/>
      <c r="X44" s="193" t="str">
        <f t="shared" si="14"/>
        <v xml:space="preserve">114         ;2547rpm | 14° | 2,36ms </v>
      </c>
      <c r="Y44" s="193"/>
      <c r="Z44" s="193"/>
    </row>
    <row r="45" spans="2:26">
      <c r="B45" s="2">
        <f t="shared" si="8"/>
        <v>47</v>
      </c>
      <c r="C45" s="73">
        <f t="shared" si="10"/>
        <v>20.774999999999999</v>
      </c>
      <c r="D45" s="108">
        <f t="shared" si="11"/>
        <v>2493</v>
      </c>
      <c r="E45" s="81">
        <f t="shared" si="6"/>
        <v>66.853857467575878</v>
      </c>
      <c r="F45" s="92">
        <v>14</v>
      </c>
      <c r="G45" s="83">
        <f t="shared" si="12"/>
        <v>2.4067388688327314</v>
      </c>
      <c r="H45" s="42">
        <f t="shared" si="13"/>
        <v>2406.7388688327314</v>
      </c>
      <c r="I45" s="42">
        <f t="shared" si="9"/>
        <v>2335</v>
      </c>
      <c r="J45" s="90">
        <f t="shared" si="7"/>
        <v>116</v>
      </c>
      <c r="K45" s="200" t="str">
        <f t="shared" si="4"/>
        <v/>
      </c>
      <c r="S45" s="27"/>
      <c r="T45" s="29"/>
      <c r="W45" s="43"/>
      <c r="X45" s="193" t="str">
        <f t="shared" si="14"/>
        <v xml:space="preserve">116         ;2493rpm | 14° | 2,41ms </v>
      </c>
      <c r="Y45" s="193"/>
      <c r="Z45" s="193"/>
    </row>
    <row r="46" spans="2:26">
      <c r="B46" s="2">
        <f t="shared" si="8"/>
        <v>48</v>
      </c>
      <c r="C46" s="73">
        <f t="shared" si="10"/>
        <v>20.341666666666665</v>
      </c>
      <c r="D46" s="108">
        <f t="shared" si="11"/>
        <v>2441</v>
      </c>
      <c r="E46" s="81">
        <f t="shared" si="6"/>
        <v>68.278028130547597</v>
      </c>
      <c r="F46" s="92">
        <v>14</v>
      </c>
      <c r="G46" s="83">
        <f t="shared" si="12"/>
        <v>2.4580090126997134</v>
      </c>
      <c r="H46" s="42">
        <f t="shared" si="13"/>
        <v>2458.0090126997134</v>
      </c>
      <c r="I46" s="42">
        <f t="shared" si="9"/>
        <v>2387</v>
      </c>
      <c r="J46" s="90">
        <f t="shared" si="7"/>
        <v>119</v>
      </c>
      <c r="K46" s="200" t="str">
        <f t="shared" si="4"/>
        <v/>
      </c>
      <c r="S46" s="27"/>
      <c r="T46" s="29"/>
      <c r="W46" s="43"/>
      <c r="X46" s="193" t="str">
        <f t="shared" si="14"/>
        <v xml:space="preserve">119         ;2441rpm | 14° | 2,46ms </v>
      </c>
      <c r="Y46" s="193"/>
      <c r="Z46" s="193"/>
    </row>
    <row r="47" spans="2:26">
      <c r="B47" s="2">
        <f t="shared" si="8"/>
        <v>49</v>
      </c>
      <c r="C47" s="73">
        <f t="shared" si="10"/>
        <v>19.925000000000001</v>
      </c>
      <c r="D47" s="108">
        <f t="shared" si="11"/>
        <v>2391</v>
      </c>
      <c r="E47" s="81">
        <f t="shared" si="6"/>
        <v>69.705841349505079</v>
      </c>
      <c r="F47" s="92">
        <v>14</v>
      </c>
      <c r="G47" s="83">
        <f t="shared" si="12"/>
        <v>2.509410288582183</v>
      </c>
      <c r="H47" s="42">
        <f t="shared" si="13"/>
        <v>2509.4102885821831</v>
      </c>
      <c r="I47" s="42">
        <f t="shared" si="9"/>
        <v>2438</v>
      </c>
      <c r="J47" s="90">
        <f t="shared" si="7"/>
        <v>121</v>
      </c>
      <c r="K47" s="200" t="str">
        <f t="shared" si="4"/>
        <v/>
      </c>
      <c r="S47" s="27"/>
      <c r="T47" s="29"/>
      <c r="W47" s="43"/>
      <c r="X47" s="193" t="str">
        <f t="shared" si="14"/>
        <v xml:space="preserve">121         ;2391rpm | 14° | 2,51ms </v>
      </c>
      <c r="Y47" s="193"/>
      <c r="Z47" s="193"/>
    </row>
    <row r="48" spans="2:26">
      <c r="B48" s="2">
        <f t="shared" si="8"/>
        <v>50</v>
      </c>
      <c r="C48" s="73">
        <f t="shared" si="10"/>
        <v>19.524999999999999</v>
      </c>
      <c r="D48" s="108">
        <f t="shared" si="11"/>
        <v>2343</v>
      </c>
      <c r="E48" s="81">
        <f t="shared" si="6"/>
        <v>71.133873950775367</v>
      </c>
      <c r="F48" s="92">
        <v>14</v>
      </c>
      <c r="G48" s="83">
        <f t="shared" si="12"/>
        <v>2.5608194622279132</v>
      </c>
      <c r="H48" s="42">
        <f t="shared" si="13"/>
        <v>2560.8194622279134</v>
      </c>
      <c r="I48" s="42">
        <f t="shared" si="9"/>
        <v>2489</v>
      </c>
      <c r="J48" s="90">
        <f t="shared" si="7"/>
        <v>124</v>
      </c>
      <c r="K48" s="200" t="str">
        <f t="shared" si="4"/>
        <v/>
      </c>
      <c r="S48" s="27"/>
      <c r="T48" s="29"/>
      <c r="W48" s="43"/>
      <c r="X48" s="193" t="str">
        <f t="shared" si="14"/>
        <v xml:space="preserve">124         ;2343rpm | 14° | 2,56ms </v>
      </c>
      <c r="Y48" s="193"/>
      <c r="Z48" s="193"/>
    </row>
    <row r="49" spans="2:26">
      <c r="B49" s="2">
        <f t="shared" si="8"/>
        <v>51</v>
      </c>
      <c r="C49" s="73">
        <f t="shared" si="10"/>
        <v>19.141666666666666</v>
      </c>
      <c r="D49" s="108">
        <f t="shared" si="11"/>
        <v>2297</v>
      </c>
      <c r="E49" s="81">
        <f t="shared" si="6"/>
        <v>72.558409519663329</v>
      </c>
      <c r="F49" s="92">
        <v>14</v>
      </c>
      <c r="G49" s="83">
        <f t="shared" si="12"/>
        <v>2.6121027427078798</v>
      </c>
      <c r="H49" s="42">
        <f t="shared" si="13"/>
        <v>2612.1027427078798</v>
      </c>
      <c r="I49" s="42">
        <f t="shared" si="9"/>
        <v>2541</v>
      </c>
      <c r="J49" s="90">
        <f t="shared" si="7"/>
        <v>127</v>
      </c>
      <c r="K49" s="200" t="str">
        <f t="shared" si="4"/>
        <v/>
      </c>
      <c r="S49" s="27"/>
      <c r="T49" s="29"/>
      <c r="W49" s="43"/>
      <c r="X49" s="193" t="str">
        <f t="shared" si="14"/>
        <v xml:space="preserve">127         ;2297rpm | 14° | 2,61ms </v>
      </c>
      <c r="Y49" s="193"/>
      <c r="Z49" s="193"/>
    </row>
    <row r="50" spans="2:26">
      <c r="B50" s="2">
        <f t="shared" si="8"/>
        <v>52</v>
      </c>
      <c r="C50" s="73">
        <f t="shared" si="10"/>
        <v>18.774999999999999</v>
      </c>
      <c r="D50" s="108">
        <f t="shared" si="11"/>
        <v>2253</v>
      </c>
      <c r="E50" s="81">
        <f t="shared" si="6"/>
        <v>73.975440153868917</v>
      </c>
      <c r="F50" s="92">
        <v>14</v>
      </c>
      <c r="G50" s="83">
        <f t="shared" si="12"/>
        <v>2.6631158455392812</v>
      </c>
      <c r="H50" s="42">
        <f t="shared" si="13"/>
        <v>2663.1158455392811</v>
      </c>
      <c r="I50" s="42">
        <f t="shared" si="9"/>
        <v>2592</v>
      </c>
      <c r="J50" s="90">
        <f t="shared" si="7"/>
        <v>129</v>
      </c>
      <c r="K50" s="200" t="str">
        <f t="shared" si="4"/>
        <v/>
      </c>
      <c r="S50" s="27"/>
      <c r="T50" s="29"/>
      <c r="W50" s="43"/>
      <c r="X50" s="193" t="str">
        <f t="shared" si="14"/>
        <v xml:space="preserve">129         ;2253rpm | 14° | 2,66ms </v>
      </c>
      <c r="Y50" s="193"/>
      <c r="Z50" s="193"/>
    </row>
    <row r="51" spans="2:26">
      <c r="B51" s="2">
        <f t="shared" si="8"/>
        <v>53</v>
      </c>
      <c r="C51" s="73">
        <f t="shared" si="10"/>
        <v>18.425000000000001</v>
      </c>
      <c r="D51" s="108">
        <f t="shared" si="11"/>
        <v>2211</v>
      </c>
      <c r="E51" s="81">
        <f t="shared" si="6"/>
        <v>75.38067239559777</v>
      </c>
      <c r="F51" s="92">
        <v>14</v>
      </c>
      <c r="G51" s="83">
        <f t="shared" si="12"/>
        <v>2.7137042062415198</v>
      </c>
      <c r="H51" s="42">
        <f t="shared" si="13"/>
        <v>2713.7042062415198</v>
      </c>
      <c r="I51" s="42">
        <f t="shared" si="9"/>
        <v>2642</v>
      </c>
      <c r="J51" s="90">
        <f t="shared" si="7"/>
        <v>132</v>
      </c>
      <c r="K51" s="200" t="str">
        <f t="shared" si="4"/>
        <v/>
      </c>
      <c r="S51" s="27"/>
      <c r="T51" s="29"/>
      <c r="W51" s="43"/>
      <c r="X51" s="193" t="str">
        <f t="shared" si="14"/>
        <v xml:space="preserve">132         ;2211rpm | 14° | 2,71ms </v>
      </c>
      <c r="Y51" s="193"/>
      <c r="Z51" s="193"/>
    </row>
    <row r="52" spans="2:26">
      <c r="B52" s="2">
        <f t="shared" si="8"/>
        <v>54</v>
      </c>
      <c r="C52" s="73">
        <f t="shared" si="10"/>
        <v>18.083333333333332</v>
      </c>
      <c r="D52" s="108">
        <f t="shared" si="11"/>
        <v>2170</v>
      </c>
      <c r="E52" s="81">
        <f t="shared" si="6"/>
        <v>76.804915514592935</v>
      </c>
      <c r="F52" s="92">
        <v>14</v>
      </c>
      <c r="G52" s="83">
        <f t="shared" si="12"/>
        <v>2.7649769585253456</v>
      </c>
      <c r="H52" s="42">
        <f t="shared" si="13"/>
        <v>2764.9769585253457</v>
      </c>
      <c r="I52" s="42">
        <f t="shared" si="9"/>
        <v>2693</v>
      </c>
      <c r="J52" s="90">
        <f t="shared" si="7"/>
        <v>134</v>
      </c>
      <c r="K52" s="200" t="str">
        <f t="shared" si="4"/>
        <v/>
      </c>
      <c r="S52" s="27"/>
      <c r="T52" s="29"/>
      <c r="W52" s="43"/>
      <c r="X52" s="193" t="str">
        <f t="shared" si="14"/>
        <v xml:space="preserve">134         ;2170rpm | 14° | 2,76ms </v>
      </c>
      <c r="Y52" s="193"/>
      <c r="Z52" s="193"/>
    </row>
    <row r="53" spans="2:26">
      <c r="B53" s="2">
        <f t="shared" si="8"/>
        <v>55</v>
      </c>
      <c r="C53" s="73">
        <f t="shared" si="10"/>
        <v>17.75</v>
      </c>
      <c r="D53" s="108">
        <f t="shared" si="11"/>
        <v>2130</v>
      </c>
      <c r="E53" s="81">
        <f t="shared" si="6"/>
        <v>78.247261345852891</v>
      </c>
      <c r="F53" s="92">
        <v>14</v>
      </c>
      <c r="G53" s="83">
        <f t="shared" si="12"/>
        <v>2.816901408450704</v>
      </c>
      <c r="H53" s="42">
        <f t="shared" si="13"/>
        <v>2816.9014084507039</v>
      </c>
      <c r="I53" s="42">
        <f t="shared" si="9"/>
        <v>2745</v>
      </c>
      <c r="J53" s="90">
        <f t="shared" si="7"/>
        <v>137</v>
      </c>
      <c r="K53" s="200" t="str">
        <f t="shared" si="4"/>
        <v/>
      </c>
      <c r="S53" s="27"/>
      <c r="T53" s="29"/>
      <c r="W53" s="43"/>
      <c r="X53" s="193" t="str">
        <f t="shared" si="14"/>
        <v xml:space="preserve">137         ;2130rpm | 14° | 2,82ms </v>
      </c>
      <c r="Y53" s="193"/>
      <c r="Z53" s="193"/>
    </row>
    <row r="54" spans="2:26">
      <c r="B54" s="2">
        <f t="shared" si="8"/>
        <v>56</v>
      </c>
      <c r="C54" s="73">
        <f t="shared" si="10"/>
        <v>17.433333333333334</v>
      </c>
      <c r="D54" s="108">
        <f t="shared" si="11"/>
        <v>2092</v>
      </c>
      <c r="E54" s="81">
        <f t="shared" si="6"/>
        <v>79.668578712555771</v>
      </c>
      <c r="F54" s="92">
        <v>14</v>
      </c>
      <c r="G54" s="83">
        <f t="shared" si="12"/>
        <v>2.8680688336520079</v>
      </c>
      <c r="H54" s="42">
        <f t="shared" si="13"/>
        <v>2868.0688336520079</v>
      </c>
      <c r="I54" s="42">
        <f t="shared" si="9"/>
        <v>2797</v>
      </c>
      <c r="J54" s="90">
        <f t="shared" si="7"/>
        <v>139</v>
      </c>
      <c r="K54" s="200" t="str">
        <f t="shared" si="4"/>
        <v/>
      </c>
      <c r="S54" s="27"/>
      <c r="T54" s="29"/>
      <c r="W54" s="43"/>
      <c r="X54" s="193" t="str">
        <f t="shared" si="14"/>
        <v xml:space="preserve">139         ;2092rpm | 14° | 2,87ms </v>
      </c>
      <c r="Y54" s="193"/>
      <c r="Z54" s="193"/>
    </row>
    <row r="55" spans="2:26">
      <c r="B55" s="2">
        <f t="shared" si="8"/>
        <v>57</v>
      </c>
      <c r="C55" s="73">
        <f t="shared" si="10"/>
        <v>17.125</v>
      </c>
      <c r="D55" s="108">
        <f t="shared" si="11"/>
        <v>2055</v>
      </c>
      <c r="E55" s="81">
        <f t="shared" si="6"/>
        <v>81.103000811030014</v>
      </c>
      <c r="F55" s="92">
        <v>14</v>
      </c>
      <c r="G55" s="83">
        <f t="shared" si="12"/>
        <v>2.9197080291970807</v>
      </c>
      <c r="H55" s="42">
        <f t="shared" si="13"/>
        <v>2919.7080291970806</v>
      </c>
      <c r="I55" s="42">
        <f t="shared" si="9"/>
        <v>2848</v>
      </c>
      <c r="J55" s="90">
        <f t="shared" si="7"/>
        <v>142</v>
      </c>
      <c r="K55" s="200" t="str">
        <f t="shared" si="4"/>
        <v/>
      </c>
      <c r="S55" s="27"/>
      <c r="T55" s="29"/>
      <c r="W55" s="43"/>
      <c r="X55" s="193" t="str">
        <f t="shared" si="14"/>
        <v xml:space="preserve">142         ;2055rpm | 14° | 2,92ms </v>
      </c>
      <c r="Y55" s="193"/>
      <c r="Z55" s="193"/>
    </row>
    <row r="56" spans="2:26">
      <c r="B56" s="2">
        <f t="shared" si="8"/>
        <v>58</v>
      </c>
      <c r="C56" s="73">
        <f t="shared" si="10"/>
        <v>16.833333333333332</v>
      </c>
      <c r="D56" s="108">
        <f t="shared" si="11"/>
        <v>2020</v>
      </c>
      <c r="E56" s="81">
        <f t="shared" si="6"/>
        <v>82.508250825082513</v>
      </c>
      <c r="F56" s="92">
        <v>14</v>
      </c>
      <c r="G56" s="83">
        <f t="shared" si="12"/>
        <v>2.9702970297029707</v>
      </c>
      <c r="H56" s="42">
        <f t="shared" si="13"/>
        <v>2970.2970297029706</v>
      </c>
      <c r="I56" s="42">
        <f t="shared" si="9"/>
        <v>2899</v>
      </c>
      <c r="J56" s="90">
        <f t="shared" si="7"/>
        <v>144</v>
      </c>
      <c r="K56" s="200" t="str">
        <f t="shared" si="4"/>
        <v/>
      </c>
      <c r="S56" s="27"/>
      <c r="T56" s="29"/>
      <c r="W56" s="43"/>
      <c r="X56" s="193" t="str">
        <f t="shared" si="14"/>
        <v xml:space="preserve">144         ;2020rpm | 14° | 2,97ms </v>
      </c>
      <c r="Y56" s="193"/>
      <c r="Z56" s="193"/>
    </row>
    <row r="57" spans="2:26">
      <c r="B57" s="2">
        <f t="shared" si="8"/>
        <v>59</v>
      </c>
      <c r="C57" s="73">
        <f t="shared" si="10"/>
        <v>16.55</v>
      </c>
      <c r="D57" s="108">
        <f t="shared" si="11"/>
        <v>1986</v>
      </c>
      <c r="E57" s="81">
        <f t="shared" si="6"/>
        <v>83.920778784827121</v>
      </c>
      <c r="F57" s="92">
        <v>14</v>
      </c>
      <c r="G57" s="83">
        <f t="shared" si="12"/>
        <v>3.0211480362537761</v>
      </c>
      <c r="H57" s="42">
        <f t="shared" si="13"/>
        <v>3021.1480362537764</v>
      </c>
      <c r="I57" s="42">
        <f t="shared" si="9"/>
        <v>2950</v>
      </c>
      <c r="J57" s="90">
        <f t="shared" si="7"/>
        <v>147</v>
      </c>
      <c r="K57" s="200" t="str">
        <f t="shared" si="4"/>
        <v/>
      </c>
      <c r="S57" s="27"/>
      <c r="T57" s="29"/>
      <c r="W57" s="43"/>
      <c r="X57" s="193" t="str">
        <f t="shared" si="14"/>
        <v xml:space="preserve">147         ;1986rpm | 14° | 3,02ms </v>
      </c>
      <c r="Y57" s="193"/>
      <c r="Z57" s="193"/>
    </row>
    <row r="58" spans="2:26">
      <c r="B58" s="2">
        <f t="shared" si="8"/>
        <v>60</v>
      </c>
      <c r="C58" s="73">
        <f t="shared" si="10"/>
        <v>16.274999999999999</v>
      </c>
      <c r="D58" s="108">
        <f t="shared" si="11"/>
        <v>1953</v>
      </c>
      <c r="E58" s="81">
        <f t="shared" si="6"/>
        <v>85.338795016214362</v>
      </c>
      <c r="F58" s="92">
        <v>14</v>
      </c>
      <c r="G58" s="83">
        <f t="shared" si="12"/>
        <v>3.0721966205837172</v>
      </c>
      <c r="H58" s="42">
        <f t="shared" si="13"/>
        <v>3072.196620583717</v>
      </c>
      <c r="I58" s="42">
        <f t="shared" si="9"/>
        <v>3001</v>
      </c>
      <c r="J58" s="90">
        <f t="shared" si="7"/>
        <v>150</v>
      </c>
      <c r="K58" s="200" t="str">
        <f t="shared" si="4"/>
        <v/>
      </c>
      <c r="S58" s="27"/>
      <c r="T58" s="29"/>
      <c r="W58" s="43"/>
      <c r="X58" s="193" t="str">
        <f t="shared" si="14"/>
        <v xml:space="preserve">150         ;1953rpm | 14° | 3,07ms </v>
      </c>
      <c r="Y58" s="193"/>
      <c r="Z58" s="193"/>
    </row>
    <row r="59" spans="2:26">
      <c r="B59" s="2">
        <f t="shared" si="8"/>
        <v>61</v>
      </c>
      <c r="C59" s="73">
        <f t="shared" si="10"/>
        <v>16.008333333333333</v>
      </c>
      <c r="D59" s="108">
        <f t="shared" si="11"/>
        <v>1921</v>
      </c>
      <c r="E59" s="81">
        <f t="shared" si="6"/>
        <v>86.760367863959743</v>
      </c>
      <c r="F59" s="92">
        <v>14</v>
      </c>
      <c r="G59" s="83">
        <f t="shared" si="12"/>
        <v>3.1233732431025509</v>
      </c>
      <c r="H59" s="42">
        <f t="shared" si="13"/>
        <v>3123.373243102551</v>
      </c>
      <c r="I59" s="42">
        <f t="shared" si="9"/>
        <v>3052</v>
      </c>
      <c r="J59" s="90">
        <f t="shared" si="7"/>
        <v>152</v>
      </c>
      <c r="K59" s="200" t="str">
        <f t="shared" si="4"/>
        <v/>
      </c>
      <c r="S59" s="27"/>
      <c r="T59" s="29"/>
      <c r="W59" s="43"/>
      <c r="X59" s="193" t="str">
        <f t="shared" si="14"/>
        <v xml:space="preserve">152         ;1921rpm | 14° | 3,12ms </v>
      </c>
      <c r="Y59" s="193"/>
      <c r="Z59" s="193"/>
    </row>
    <row r="60" spans="2:26">
      <c r="B60" s="2">
        <f t="shared" si="8"/>
        <v>62</v>
      </c>
      <c r="C60" s="73">
        <f t="shared" si="10"/>
        <v>15.75</v>
      </c>
      <c r="D60" s="108">
        <f t="shared" si="11"/>
        <v>1890</v>
      </c>
      <c r="E60" s="81">
        <f t="shared" si="6"/>
        <v>88.183421516754848</v>
      </c>
      <c r="F60" s="92">
        <v>14</v>
      </c>
      <c r="G60" s="83">
        <f t="shared" si="12"/>
        <v>3.1746031746031744</v>
      </c>
      <c r="H60" s="42">
        <f t="shared" si="13"/>
        <v>3174.6031746031745</v>
      </c>
      <c r="I60" s="42">
        <f t="shared" si="9"/>
        <v>3103</v>
      </c>
      <c r="J60" s="90">
        <f t="shared" si="7"/>
        <v>155</v>
      </c>
      <c r="K60" s="200" t="str">
        <f t="shared" si="4"/>
        <v/>
      </c>
      <c r="S60" s="27"/>
      <c r="T60" s="29"/>
      <c r="W60" s="43"/>
      <c r="X60" s="193" t="str">
        <f t="shared" si="14"/>
        <v xml:space="preserve">155         ;1890rpm | 14° | 3,17ms </v>
      </c>
      <c r="Y60" s="193"/>
      <c r="Z60" s="193"/>
    </row>
    <row r="61" spans="2:26">
      <c r="B61" s="2">
        <f t="shared" si="8"/>
        <v>63</v>
      </c>
      <c r="C61" s="73">
        <f t="shared" si="10"/>
        <v>15.5</v>
      </c>
      <c r="D61" s="108">
        <f t="shared" si="11"/>
        <v>1860</v>
      </c>
      <c r="E61" s="81">
        <f t="shared" si="6"/>
        <v>89.605734767025098</v>
      </c>
      <c r="F61" s="92">
        <v>14</v>
      </c>
      <c r="G61" s="83">
        <f t="shared" si="12"/>
        <v>3.2258064516129035</v>
      </c>
      <c r="H61" s="42">
        <f t="shared" si="13"/>
        <v>3225.8064516129034</v>
      </c>
      <c r="I61" s="42">
        <f t="shared" si="9"/>
        <v>3154</v>
      </c>
      <c r="J61" s="90">
        <f t="shared" si="7"/>
        <v>157</v>
      </c>
      <c r="K61" s="200" t="str">
        <f t="shared" si="4"/>
        <v/>
      </c>
      <c r="S61" s="27"/>
      <c r="T61" s="29"/>
      <c r="W61" s="43"/>
      <c r="X61" s="193" t="str">
        <f t="shared" si="14"/>
        <v xml:space="preserve">157         ;1860rpm | 14° | 3,23ms </v>
      </c>
      <c r="Y61" s="193"/>
      <c r="Z61" s="193"/>
    </row>
    <row r="62" spans="2:26">
      <c r="B62" s="2">
        <f t="shared" si="8"/>
        <v>64</v>
      </c>
      <c r="C62" s="73">
        <f t="shared" si="10"/>
        <v>15.258333333333333</v>
      </c>
      <c r="D62" s="108">
        <f t="shared" si="11"/>
        <v>1831</v>
      </c>
      <c r="E62" s="81">
        <f t="shared" si="6"/>
        <v>91.024940833788463</v>
      </c>
      <c r="F62" s="92">
        <v>14</v>
      </c>
      <c r="G62" s="83">
        <f t="shared" si="12"/>
        <v>3.2768978700163847</v>
      </c>
      <c r="H62" s="42">
        <f t="shared" si="13"/>
        <v>3276.8978700163848</v>
      </c>
      <c r="I62" s="42">
        <f t="shared" si="9"/>
        <v>3205</v>
      </c>
      <c r="J62" s="90">
        <f t="shared" si="7"/>
        <v>160</v>
      </c>
      <c r="K62" s="200" t="str">
        <f t="shared" si="4"/>
        <v/>
      </c>
      <c r="S62" s="27"/>
      <c r="T62" s="29"/>
      <c r="W62" s="43"/>
      <c r="X62" s="193" t="str">
        <f t="shared" si="14"/>
        <v xml:space="preserve">160         ;1831rpm | 14° | 3,28ms </v>
      </c>
      <c r="Y62" s="193"/>
      <c r="Z62" s="193"/>
    </row>
    <row r="63" spans="2:26">
      <c r="B63" s="2">
        <f t="shared" si="8"/>
        <v>65</v>
      </c>
      <c r="C63" s="73">
        <f t="shared" si="10"/>
        <v>15.016666666666667</v>
      </c>
      <c r="D63" s="108">
        <f t="shared" si="11"/>
        <v>1802</v>
      </c>
      <c r="E63" s="81">
        <f t="shared" si="6"/>
        <v>92.489826119126903</v>
      </c>
      <c r="F63" s="92">
        <v>14</v>
      </c>
      <c r="G63" s="83">
        <f t="shared" si="12"/>
        <v>3.3296337402885685</v>
      </c>
      <c r="H63" s="42">
        <f t="shared" si="13"/>
        <v>3329.6337402885683</v>
      </c>
      <c r="I63" s="42">
        <f t="shared" si="9"/>
        <v>3258</v>
      </c>
      <c r="J63" s="90">
        <f t="shared" si="7"/>
        <v>162</v>
      </c>
      <c r="K63" s="200" t="str">
        <f t="shared" si="4"/>
        <v/>
      </c>
      <c r="S63" s="27"/>
      <c r="T63" s="29"/>
      <c r="W63" s="43"/>
      <c r="X63" s="193" t="str">
        <f t="shared" si="14"/>
        <v xml:space="preserve">162         ;1802rpm | 14° | 3,33ms </v>
      </c>
      <c r="Y63" s="193"/>
      <c r="Z63" s="193"/>
    </row>
    <row r="64" spans="2:26">
      <c r="B64" s="2">
        <f t="shared" si="8"/>
        <v>66</v>
      </c>
      <c r="C64" s="73">
        <f t="shared" si="10"/>
        <v>14.791666666666666</v>
      </c>
      <c r="D64" s="108">
        <f t="shared" si="11"/>
        <v>1775</v>
      </c>
      <c r="E64" s="81">
        <f t="shared" si="6"/>
        <v>93.896713615023472</v>
      </c>
      <c r="F64" s="92">
        <v>14</v>
      </c>
      <c r="G64" s="83">
        <f t="shared" si="12"/>
        <v>3.380281690140845</v>
      </c>
      <c r="H64" s="42">
        <f t="shared" si="13"/>
        <v>3380.2816901408451</v>
      </c>
      <c r="I64" s="42">
        <f t="shared" si="9"/>
        <v>3309</v>
      </c>
      <c r="J64" s="90">
        <f t="shared" si="7"/>
        <v>165</v>
      </c>
      <c r="K64" s="200" t="str">
        <f t="shared" si="4"/>
        <v/>
      </c>
      <c r="S64" s="27"/>
      <c r="T64" s="29"/>
      <c r="W64" s="43"/>
      <c r="X64" s="193" t="str">
        <f t="shared" si="14"/>
        <v xml:space="preserve">165         ;1775rpm | 14° | 3,38ms </v>
      </c>
      <c r="Y64" s="193"/>
      <c r="Z64" s="193"/>
    </row>
    <row r="65" spans="2:26">
      <c r="B65" s="2">
        <f t="shared" si="8"/>
        <v>67</v>
      </c>
      <c r="C65" s="73">
        <f t="shared" si="10"/>
        <v>14.574999999999999</v>
      </c>
      <c r="D65" s="108">
        <f t="shared" si="11"/>
        <v>1749</v>
      </c>
      <c r="E65" s="81">
        <f t="shared" si="6"/>
        <v>95.292548122736804</v>
      </c>
      <c r="F65" s="92">
        <v>14</v>
      </c>
      <c r="G65" s="83">
        <f t="shared" si="12"/>
        <v>3.4305317324185247</v>
      </c>
      <c r="H65" s="42">
        <f t="shared" si="13"/>
        <v>3430.5317324185248</v>
      </c>
      <c r="I65" s="42">
        <f t="shared" si="9"/>
        <v>3359</v>
      </c>
      <c r="J65" s="90">
        <f t="shared" si="7"/>
        <v>167</v>
      </c>
      <c r="K65" s="200" t="str">
        <f t="shared" si="4"/>
        <v/>
      </c>
      <c r="S65" s="27"/>
      <c r="T65" s="29"/>
      <c r="W65" s="43"/>
      <c r="X65" s="193" t="str">
        <f t="shared" si="14"/>
        <v xml:space="preserve">167         ;1749rpm | 14° | 3,43ms </v>
      </c>
      <c r="Y65" s="193"/>
      <c r="Z65" s="193"/>
    </row>
    <row r="66" spans="2:26">
      <c r="B66" s="2">
        <f t="shared" si="8"/>
        <v>68</v>
      </c>
      <c r="C66" s="73">
        <f t="shared" si="10"/>
        <v>14.358333333333333</v>
      </c>
      <c r="D66" s="108">
        <f t="shared" si="11"/>
        <v>1723</v>
      </c>
      <c r="E66" s="81">
        <f t="shared" si="6"/>
        <v>96.730508802476308</v>
      </c>
      <c r="F66" s="92">
        <v>14</v>
      </c>
      <c r="G66" s="83">
        <f t="shared" si="12"/>
        <v>3.482298316889147</v>
      </c>
      <c r="H66" s="42">
        <f t="shared" si="13"/>
        <v>3482.2983168891469</v>
      </c>
      <c r="I66" s="42">
        <f t="shared" si="9"/>
        <v>3411</v>
      </c>
      <c r="J66" s="90">
        <f t="shared" si="7"/>
        <v>170</v>
      </c>
      <c r="K66" s="200" t="str">
        <f t="shared" si="4"/>
        <v/>
      </c>
      <c r="S66" s="27"/>
      <c r="T66" s="29"/>
      <c r="W66" s="43"/>
      <c r="X66" s="193" t="str">
        <f t="shared" si="14"/>
        <v xml:space="preserve">170         ;1723rpm | 14° | 3,48ms </v>
      </c>
      <c r="Y66" s="193"/>
      <c r="Z66" s="193"/>
    </row>
    <row r="67" spans="2:26">
      <c r="B67" s="2">
        <f t="shared" si="8"/>
        <v>69</v>
      </c>
      <c r="C67" s="73">
        <f t="shared" si="10"/>
        <v>14.15</v>
      </c>
      <c r="D67" s="108">
        <f t="shared" si="11"/>
        <v>1698</v>
      </c>
      <c r="E67" s="81">
        <f t="shared" si="6"/>
        <v>98.154691794267762</v>
      </c>
      <c r="F67" s="92">
        <v>14</v>
      </c>
      <c r="G67" s="83">
        <f t="shared" si="12"/>
        <v>3.5335689045936398</v>
      </c>
      <c r="H67" s="42">
        <f t="shared" si="13"/>
        <v>3533.5689045936397</v>
      </c>
      <c r="I67" s="42">
        <f t="shared" si="9"/>
        <v>3462</v>
      </c>
      <c r="J67" s="90">
        <f t="shared" si="7"/>
        <v>173</v>
      </c>
      <c r="K67" s="200" t="str">
        <f t="shared" si="4"/>
        <v/>
      </c>
      <c r="S67" s="27"/>
      <c r="T67" s="29"/>
      <c r="W67" s="43"/>
      <c r="X67" s="193" t="str">
        <f t="shared" si="14"/>
        <v xml:space="preserve">173         ;1698rpm | 14° | 3,53ms </v>
      </c>
      <c r="Y67" s="193"/>
      <c r="Z67" s="193"/>
    </row>
    <row r="68" spans="2:26">
      <c r="B68" s="2">
        <f t="shared" si="8"/>
        <v>70</v>
      </c>
      <c r="C68" s="73">
        <f t="shared" si="10"/>
        <v>13.95</v>
      </c>
      <c r="D68" s="108">
        <f t="shared" si="11"/>
        <v>1674</v>
      </c>
      <c r="E68" s="81">
        <f t="shared" si="6"/>
        <v>99.561927518916775</v>
      </c>
      <c r="F68" s="92">
        <v>14</v>
      </c>
      <c r="G68" s="83">
        <f t="shared" si="12"/>
        <v>3.5842293906810037</v>
      </c>
      <c r="H68" s="42">
        <f t="shared" si="13"/>
        <v>3584.2293906810037</v>
      </c>
      <c r="I68" s="42">
        <f t="shared" si="9"/>
        <v>3513</v>
      </c>
      <c r="J68" s="90">
        <f t="shared" si="7"/>
        <v>175</v>
      </c>
      <c r="K68" s="200" t="str">
        <f t="shared" si="4"/>
        <v/>
      </c>
      <c r="S68" s="27"/>
      <c r="T68" s="29"/>
      <c r="W68" s="43"/>
      <c r="X68" s="193" t="str">
        <f t="shared" si="14"/>
        <v xml:space="preserve">175         ;1674rpm | 14° | 3,58ms </v>
      </c>
      <c r="Y68" s="193"/>
      <c r="Z68" s="193"/>
    </row>
    <row r="69" spans="2:26">
      <c r="B69" s="2">
        <f t="shared" si="8"/>
        <v>71</v>
      </c>
      <c r="C69" s="73">
        <f t="shared" si="10"/>
        <v>13.75</v>
      </c>
      <c r="D69" s="108">
        <f t="shared" si="11"/>
        <v>1650</v>
      </c>
      <c r="E69" s="81">
        <f t="shared" si="6"/>
        <v>101.010101010101</v>
      </c>
      <c r="F69" s="92">
        <v>14</v>
      </c>
      <c r="G69" s="83">
        <f t="shared" si="12"/>
        <v>3.6363636363636362</v>
      </c>
      <c r="H69" s="42">
        <f t="shared" si="13"/>
        <v>3636.363636363636</v>
      </c>
      <c r="I69" s="42">
        <f t="shared" si="9"/>
        <v>3565</v>
      </c>
      <c r="J69" s="90">
        <f t="shared" si="7"/>
        <v>178</v>
      </c>
      <c r="K69" s="200" t="str">
        <f t="shared" si="4"/>
        <v/>
      </c>
      <c r="S69" s="27"/>
      <c r="T69" s="29"/>
      <c r="W69" s="43"/>
      <c r="X69" s="193" t="str">
        <f t="shared" si="14"/>
        <v xml:space="preserve">178         ;1650rpm | 14° | 3,64ms </v>
      </c>
      <c r="Y69" s="193"/>
      <c r="Z69" s="193"/>
    </row>
    <row r="70" spans="2:26">
      <c r="B70" s="2">
        <f t="shared" si="8"/>
        <v>72</v>
      </c>
      <c r="C70" s="73">
        <f t="shared" si="10"/>
        <v>13.558333333333334</v>
      </c>
      <c r="D70" s="108">
        <f t="shared" si="11"/>
        <v>1627</v>
      </c>
      <c r="E70" s="81">
        <f t="shared" si="6"/>
        <v>102.43802499487811</v>
      </c>
      <c r="F70" s="92">
        <v>14</v>
      </c>
      <c r="G70" s="83">
        <f t="shared" si="12"/>
        <v>3.687768899815612</v>
      </c>
      <c r="H70" s="42">
        <f t="shared" si="13"/>
        <v>3687.7688998156118</v>
      </c>
      <c r="I70" s="42">
        <f t="shared" si="9"/>
        <v>3616</v>
      </c>
      <c r="J70" s="90">
        <f t="shared" si="7"/>
        <v>180</v>
      </c>
      <c r="K70" s="200" t="str">
        <f t="shared" si="4"/>
        <v/>
      </c>
      <c r="S70" s="27"/>
      <c r="T70" s="29"/>
      <c r="W70" s="43"/>
      <c r="X70" s="193" t="str">
        <f t="shared" si="14"/>
        <v xml:space="preserve">180         ;1627rpm | 14° | 3,69ms </v>
      </c>
      <c r="Y70" s="193"/>
      <c r="Z70" s="193"/>
    </row>
    <row r="71" spans="2:26">
      <c r="B71" s="2">
        <f t="shared" si="8"/>
        <v>73</v>
      </c>
      <c r="C71" s="73">
        <f t="shared" si="10"/>
        <v>13.375</v>
      </c>
      <c r="D71" s="108">
        <f t="shared" si="11"/>
        <v>1605</v>
      </c>
      <c r="E71" s="81">
        <f t="shared" si="6"/>
        <v>103.84215991692628</v>
      </c>
      <c r="F71" s="92">
        <v>14</v>
      </c>
      <c r="G71" s="83">
        <f t="shared" si="12"/>
        <v>3.7383177570093458</v>
      </c>
      <c r="H71" s="42">
        <f t="shared" si="13"/>
        <v>3738.3177570093458</v>
      </c>
      <c r="I71" s="42">
        <f t="shared" si="9"/>
        <v>3667</v>
      </c>
      <c r="J71" s="90">
        <f t="shared" si="7"/>
        <v>183</v>
      </c>
      <c r="K71" s="200" t="str">
        <f t="shared" si="4"/>
        <v/>
      </c>
      <c r="S71" s="27"/>
      <c r="T71" s="29"/>
      <c r="W71" s="43"/>
      <c r="X71" s="193" t="str">
        <f t="shared" si="14"/>
        <v xml:space="preserve">183         ;1605rpm | 14° | 3,74ms </v>
      </c>
      <c r="Y71" s="193"/>
      <c r="Z71" s="193"/>
    </row>
    <row r="72" spans="2:26">
      <c r="B72" s="2">
        <f t="shared" si="8"/>
        <v>74</v>
      </c>
      <c r="C72" s="73">
        <f t="shared" si="10"/>
        <v>13.191666666666666</v>
      </c>
      <c r="D72" s="108">
        <f t="shared" si="11"/>
        <v>1583</v>
      </c>
      <c r="E72" s="81">
        <f t="shared" si="6"/>
        <v>105.28532322594229</v>
      </c>
      <c r="F72" s="92">
        <v>14</v>
      </c>
      <c r="G72" s="83">
        <f t="shared" si="12"/>
        <v>3.7902716361339226</v>
      </c>
      <c r="H72" s="42">
        <f t="shared" si="13"/>
        <v>3790.2716361339226</v>
      </c>
      <c r="I72" s="42">
        <f t="shared" si="9"/>
        <v>3719</v>
      </c>
      <c r="J72" s="90">
        <f t="shared" si="7"/>
        <v>185</v>
      </c>
      <c r="K72" s="200" t="str">
        <f t="shared" si="4"/>
        <v/>
      </c>
      <c r="S72" s="27"/>
      <c r="T72" s="29"/>
      <c r="W72" s="43"/>
      <c r="X72" s="193" t="str">
        <f t="shared" si="14"/>
        <v xml:space="preserve">185         ;1583rpm | 14° | 3,79ms </v>
      </c>
      <c r="Y72" s="193"/>
      <c r="Z72" s="193"/>
    </row>
    <row r="73" spans="2:26">
      <c r="B73" s="2">
        <f t="shared" si="8"/>
        <v>75</v>
      </c>
      <c r="C73" s="73">
        <f t="shared" ref="C73:C103" si="15">(2*$M$24*D73)/(60*$M$25)</f>
        <v>13.016666666666667</v>
      </c>
      <c r="D73" s="108">
        <f t="shared" ref="D73:D103" si="16">INT((60*1000000)/((B73*256)*(1/(1/$M$30))))</f>
        <v>1562</v>
      </c>
      <c r="E73" s="81">
        <f t="shared" si="6"/>
        <v>106.70081092616304</v>
      </c>
      <c r="F73" s="92">
        <v>14</v>
      </c>
      <c r="G73" s="83">
        <f t="shared" ref="G73:G103" si="17">(E73*($F$5-F73))/1000</f>
        <v>3.8412291933418699</v>
      </c>
      <c r="H73" s="42">
        <f t="shared" ref="H73:H103" si="18">E73*($F$5-F73)</f>
        <v>3841.2291933418696</v>
      </c>
      <c r="I73" s="42">
        <f t="shared" si="9"/>
        <v>3770</v>
      </c>
      <c r="J73" s="90">
        <f t="shared" si="7"/>
        <v>188</v>
      </c>
      <c r="K73" s="200" t="str">
        <f t="shared" ref="K73:K102" si="19">IF($I73/$J$5&gt;255,CONCATENATE("WARNING: Timing will be more then ",F73,"°"),"")</f>
        <v/>
      </c>
      <c r="S73" s="27"/>
      <c r="T73" s="29"/>
      <c r="W73" s="43"/>
      <c r="X73" s="193" t="str">
        <f t="shared" ref="X73:X104" si="20">CONCATENATE(J73,"         ;",ROUND(D73,0),"rpm | ",ROUND(F73,1),"° | ",,ROUND(G73,2),"ms ")</f>
        <v xml:space="preserve">188         ;1562rpm | 14° | 3,84ms </v>
      </c>
      <c r="Y73" s="193"/>
      <c r="Z73" s="193"/>
    </row>
    <row r="74" spans="2:26">
      <c r="B74" s="2">
        <f t="shared" si="8"/>
        <v>76</v>
      </c>
      <c r="C74" s="73">
        <f t="shared" si="15"/>
        <v>12.841666666666667</v>
      </c>
      <c r="D74" s="108">
        <f t="shared" si="16"/>
        <v>1541</v>
      </c>
      <c r="E74" s="81">
        <f t="shared" ref="E74:E103" si="21">((1000*1000*60)/($M$24*D74))/360</f>
        <v>108.15487778498809</v>
      </c>
      <c r="F74" s="92">
        <v>14</v>
      </c>
      <c r="G74" s="83">
        <f t="shared" si="17"/>
        <v>3.8935756002595712</v>
      </c>
      <c r="H74" s="42">
        <f t="shared" si="18"/>
        <v>3893.5756002595713</v>
      </c>
      <c r="I74" s="42">
        <f t="shared" si="9"/>
        <v>3822</v>
      </c>
      <c r="J74" s="90">
        <f t="shared" ref="J74:J103" si="22">IF($I74/$J$5&gt;255,255,IF($I74&gt;0.01,INT($I74/$J$5),1))</f>
        <v>191</v>
      </c>
      <c r="K74" s="200" t="str">
        <f t="shared" si="19"/>
        <v/>
      </c>
      <c r="S74" s="27"/>
      <c r="T74" s="29"/>
      <c r="W74" s="43"/>
      <c r="X74" s="193" t="str">
        <f t="shared" si="20"/>
        <v xml:space="preserve">191         ;1541rpm | 14° | 3,89ms </v>
      </c>
      <c r="Y74" s="193"/>
      <c r="Z74" s="193"/>
    </row>
    <row r="75" spans="2:26">
      <c r="B75" s="2">
        <f t="shared" ref="B75:B103" si="23">IF((B74+1)&lt;(95+$B$9),B74+1,"- End -")</f>
        <v>77</v>
      </c>
      <c r="C75" s="73">
        <f t="shared" si="15"/>
        <v>12.675000000000001</v>
      </c>
      <c r="D75" s="108">
        <f t="shared" si="16"/>
        <v>1521</v>
      </c>
      <c r="E75" s="81">
        <f t="shared" si="21"/>
        <v>109.57703265395574</v>
      </c>
      <c r="F75" s="92">
        <v>14</v>
      </c>
      <c r="G75" s="83">
        <f t="shared" si="17"/>
        <v>3.9447731755424065</v>
      </c>
      <c r="H75" s="42">
        <f t="shared" si="18"/>
        <v>3944.7731755424065</v>
      </c>
      <c r="I75" s="42">
        <f t="shared" ref="I75:I103" si="24">IF($H75&gt;$I$5,INT($H75-$I$5),"out of range")</f>
        <v>3873</v>
      </c>
      <c r="J75" s="90">
        <f t="shared" si="22"/>
        <v>193</v>
      </c>
      <c r="K75" s="200" t="str">
        <f t="shared" si="19"/>
        <v/>
      </c>
      <c r="S75" s="27"/>
      <c r="T75" s="29"/>
      <c r="W75" s="43"/>
      <c r="X75" s="193" t="str">
        <f t="shared" si="20"/>
        <v xml:space="preserve">193         ;1521rpm | 14° | 3,94ms </v>
      </c>
      <c r="Y75" s="193"/>
      <c r="Z75" s="193"/>
    </row>
    <row r="76" spans="2:26">
      <c r="B76" s="2">
        <f t="shared" si="23"/>
        <v>78</v>
      </c>
      <c r="C76" s="73">
        <f t="shared" si="15"/>
        <v>12.516666666666667</v>
      </c>
      <c r="D76" s="108">
        <f t="shared" si="16"/>
        <v>1502</v>
      </c>
      <c r="E76" s="81">
        <f t="shared" si="21"/>
        <v>110.96316023080338</v>
      </c>
      <c r="F76" s="92">
        <v>14</v>
      </c>
      <c r="G76" s="83">
        <f t="shared" si="17"/>
        <v>3.994673768308922</v>
      </c>
      <c r="H76" s="42">
        <f t="shared" si="18"/>
        <v>3994.6737683089218</v>
      </c>
      <c r="I76" s="42">
        <f t="shared" si="24"/>
        <v>3923</v>
      </c>
      <c r="J76" s="90">
        <f t="shared" si="22"/>
        <v>196</v>
      </c>
      <c r="K76" s="200" t="str">
        <f t="shared" si="19"/>
        <v/>
      </c>
      <c r="S76" s="27"/>
      <c r="T76" s="29"/>
      <c r="W76" s="43"/>
      <c r="X76" s="193" t="str">
        <f t="shared" si="20"/>
        <v xml:space="preserve">196         ;1502rpm | 14° | 3,99ms </v>
      </c>
      <c r="Y76" s="193"/>
      <c r="Z76" s="193"/>
    </row>
    <row r="77" spans="2:26">
      <c r="B77" s="2">
        <f t="shared" si="23"/>
        <v>79</v>
      </c>
      <c r="C77" s="73">
        <f t="shared" si="15"/>
        <v>12.358333333333333</v>
      </c>
      <c r="D77" s="108">
        <f t="shared" si="16"/>
        <v>1483</v>
      </c>
      <c r="E77" s="81">
        <f t="shared" si="21"/>
        <v>112.38480557428635</v>
      </c>
      <c r="F77" s="92">
        <v>14</v>
      </c>
      <c r="G77" s="83">
        <f t="shared" si="17"/>
        <v>4.0458530006743088</v>
      </c>
      <c r="H77" s="42">
        <f t="shared" si="18"/>
        <v>4045.8530006743085</v>
      </c>
      <c r="I77" s="42">
        <f t="shared" si="24"/>
        <v>3974</v>
      </c>
      <c r="J77" s="90">
        <f t="shared" si="22"/>
        <v>198</v>
      </c>
      <c r="K77" s="200" t="str">
        <f t="shared" si="19"/>
        <v/>
      </c>
      <c r="S77" s="27"/>
      <c r="T77" s="29"/>
      <c r="W77" s="43"/>
      <c r="X77" s="193" t="str">
        <f t="shared" si="20"/>
        <v xml:space="preserve">198         ;1483rpm | 14° | 4,05ms </v>
      </c>
      <c r="Y77" s="193"/>
      <c r="Z77" s="193"/>
    </row>
    <row r="78" spans="2:26">
      <c r="B78" s="2">
        <f t="shared" si="23"/>
        <v>80</v>
      </c>
      <c r="C78" s="73">
        <f t="shared" si="15"/>
        <v>12.2</v>
      </c>
      <c r="D78" s="108">
        <f t="shared" si="16"/>
        <v>1464</v>
      </c>
      <c r="E78" s="81">
        <f t="shared" si="21"/>
        <v>113.84335154826957</v>
      </c>
      <c r="F78" s="92">
        <v>14</v>
      </c>
      <c r="G78" s="83">
        <f t="shared" si="17"/>
        <v>4.0983606557377046</v>
      </c>
      <c r="H78" s="42">
        <f t="shared" si="18"/>
        <v>4098.3606557377043</v>
      </c>
      <c r="I78" s="42">
        <f t="shared" si="24"/>
        <v>4027</v>
      </c>
      <c r="J78" s="90">
        <f t="shared" si="22"/>
        <v>201</v>
      </c>
      <c r="K78" s="200" t="str">
        <f t="shared" si="19"/>
        <v/>
      </c>
      <c r="S78" s="27"/>
      <c r="T78" s="29"/>
      <c r="W78" s="43"/>
      <c r="X78" s="193" t="str">
        <f t="shared" si="20"/>
        <v xml:space="preserve">201         ;1464rpm | 14° | 4,1ms </v>
      </c>
      <c r="Y78" s="193"/>
      <c r="Z78" s="193"/>
    </row>
    <row r="79" spans="2:26">
      <c r="B79" s="2">
        <f t="shared" si="23"/>
        <v>81</v>
      </c>
      <c r="C79" s="73">
        <f t="shared" si="15"/>
        <v>12.05</v>
      </c>
      <c r="D79" s="108">
        <f t="shared" si="16"/>
        <v>1446</v>
      </c>
      <c r="E79" s="81">
        <f t="shared" si="21"/>
        <v>115.2604887044721</v>
      </c>
      <c r="F79" s="92">
        <v>14</v>
      </c>
      <c r="G79" s="83">
        <f t="shared" si="17"/>
        <v>4.1493775933609962</v>
      </c>
      <c r="H79" s="42">
        <f t="shared" si="18"/>
        <v>4149.3775933609959</v>
      </c>
      <c r="I79" s="42">
        <f t="shared" si="24"/>
        <v>4078</v>
      </c>
      <c r="J79" s="90">
        <f t="shared" si="22"/>
        <v>203</v>
      </c>
      <c r="K79" s="200" t="str">
        <f t="shared" si="19"/>
        <v/>
      </c>
      <c r="S79" s="27"/>
      <c r="T79" s="29"/>
      <c r="W79" s="43"/>
      <c r="X79" s="193" t="str">
        <f t="shared" si="20"/>
        <v xml:space="preserve">203         ;1446rpm | 14° | 4,15ms </v>
      </c>
      <c r="Y79" s="193"/>
      <c r="Z79" s="193"/>
    </row>
    <row r="80" spans="2:26">
      <c r="B80" s="2">
        <f t="shared" si="23"/>
        <v>82</v>
      </c>
      <c r="C80" s="73">
        <f t="shared" si="15"/>
        <v>11.908333333333333</v>
      </c>
      <c r="D80" s="108">
        <f t="shared" si="16"/>
        <v>1429</v>
      </c>
      <c r="E80" s="81">
        <f t="shared" si="21"/>
        <v>116.63167716351761</v>
      </c>
      <c r="F80" s="92">
        <v>14</v>
      </c>
      <c r="G80" s="83">
        <f t="shared" si="17"/>
        <v>4.1987403778866339</v>
      </c>
      <c r="H80" s="42">
        <f t="shared" si="18"/>
        <v>4198.7403778866337</v>
      </c>
      <c r="I80" s="42">
        <f t="shared" si="24"/>
        <v>4127</v>
      </c>
      <c r="J80" s="90">
        <f t="shared" si="22"/>
        <v>206</v>
      </c>
      <c r="K80" s="200" t="str">
        <f t="shared" si="19"/>
        <v/>
      </c>
      <c r="S80" s="27"/>
      <c r="T80" s="29"/>
      <c r="W80" s="43"/>
      <c r="X80" s="193" t="str">
        <f t="shared" si="20"/>
        <v xml:space="preserve">206         ;1429rpm | 14° | 4,2ms </v>
      </c>
      <c r="Y80" s="193"/>
      <c r="Z80" s="193"/>
    </row>
    <row r="81" spans="2:26">
      <c r="B81" s="2">
        <f t="shared" si="23"/>
        <v>83</v>
      </c>
      <c r="C81" s="73">
        <f t="shared" si="15"/>
        <v>11.758333333333333</v>
      </c>
      <c r="D81" s="108">
        <f t="shared" si="16"/>
        <v>1411</v>
      </c>
      <c r="E81" s="81">
        <f t="shared" si="21"/>
        <v>118.11953697141507</v>
      </c>
      <c r="F81" s="92">
        <v>14</v>
      </c>
      <c r="G81" s="83">
        <f t="shared" si="17"/>
        <v>4.2523033309709426</v>
      </c>
      <c r="H81" s="42">
        <f t="shared" si="18"/>
        <v>4252.3033309709426</v>
      </c>
      <c r="I81" s="42">
        <f t="shared" si="24"/>
        <v>4181</v>
      </c>
      <c r="J81" s="90">
        <f t="shared" si="22"/>
        <v>209</v>
      </c>
      <c r="K81" s="200" t="str">
        <f t="shared" si="19"/>
        <v/>
      </c>
      <c r="S81" s="27"/>
      <c r="T81" s="29"/>
      <c r="W81" s="43"/>
      <c r="X81" s="193" t="str">
        <f t="shared" si="20"/>
        <v xml:space="preserve">209         ;1411rpm | 14° | 4,25ms </v>
      </c>
      <c r="Y81" s="193"/>
      <c r="Z81" s="193"/>
    </row>
    <row r="82" spans="2:26">
      <c r="B82" s="2">
        <f t="shared" si="23"/>
        <v>84</v>
      </c>
      <c r="C82" s="73">
        <f t="shared" si="15"/>
        <v>11.625</v>
      </c>
      <c r="D82" s="108">
        <f t="shared" si="16"/>
        <v>1395</v>
      </c>
      <c r="E82" s="81">
        <f t="shared" si="21"/>
        <v>119.47431302270012</v>
      </c>
      <c r="F82" s="92">
        <v>14</v>
      </c>
      <c r="G82" s="83">
        <f t="shared" si="17"/>
        <v>4.301075268817204</v>
      </c>
      <c r="H82" s="42">
        <f t="shared" si="18"/>
        <v>4301.0752688172042</v>
      </c>
      <c r="I82" s="42">
        <f t="shared" si="24"/>
        <v>4230</v>
      </c>
      <c r="J82" s="90">
        <f t="shared" si="22"/>
        <v>211</v>
      </c>
      <c r="K82" s="200" t="str">
        <f t="shared" si="19"/>
        <v/>
      </c>
      <c r="S82" s="27"/>
      <c r="T82" s="29"/>
      <c r="W82" s="43"/>
      <c r="X82" s="193" t="str">
        <f t="shared" si="20"/>
        <v xml:space="preserve">211         ;1395rpm | 14° | 4,3ms </v>
      </c>
      <c r="Y82" s="193"/>
      <c r="Z82" s="193"/>
    </row>
    <row r="83" spans="2:26">
      <c r="B83" s="2">
        <f t="shared" si="23"/>
        <v>85</v>
      </c>
      <c r="C83" s="73">
        <f t="shared" si="15"/>
        <v>11.483333333333333</v>
      </c>
      <c r="D83" s="108">
        <f t="shared" si="16"/>
        <v>1378</v>
      </c>
      <c r="E83" s="81">
        <f t="shared" si="21"/>
        <v>120.94823415578134</v>
      </c>
      <c r="F83" s="92">
        <v>14</v>
      </c>
      <c r="G83" s="83">
        <f t="shared" si="17"/>
        <v>4.3541364296081282</v>
      </c>
      <c r="H83" s="42">
        <f t="shared" si="18"/>
        <v>4354.1364296081283</v>
      </c>
      <c r="I83" s="42">
        <f t="shared" si="24"/>
        <v>4283</v>
      </c>
      <c r="J83" s="90">
        <f t="shared" si="22"/>
        <v>214</v>
      </c>
      <c r="K83" s="200" t="str">
        <f t="shared" si="19"/>
        <v/>
      </c>
      <c r="S83" s="27"/>
      <c r="T83" s="29"/>
      <c r="W83" s="43"/>
      <c r="X83" s="193" t="str">
        <f t="shared" si="20"/>
        <v xml:space="preserve">214         ;1378rpm | 14° | 4,35ms </v>
      </c>
      <c r="Y83" s="193"/>
      <c r="Z83" s="193"/>
    </row>
    <row r="84" spans="2:26">
      <c r="B84" s="2">
        <f t="shared" si="23"/>
        <v>86</v>
      </c>
      <c r="C84" s="73">
        <f t="shared" si="15"/>
        <v>11.35</v>
      </c>
      <c r="D84" s="108">
        <f t="shared" si="16"/>
        <v>1362</v>
      </c>
      <c r="E84" s="81">
        <f t="shared" si="21"/>
        <v>122.36906510034264</v>
      </c>
      <c r="F84" s="92">
        <v>14</v>
      </c>
      <c r="G84" s="83">
        <f t="shared" si="17"/>
        <v>4.4052863436123353</v>
      </c>
      <c r="H84" s="42">
        <f t="shared" si="18"/>
        <v>4405.2863436123353</v>
      </c>
      <c r="I84" s="42">
        <f t="shared" si="24"/>
        <v>4334</v>
      </c>
      <c r="J84" s="90">
        <f t="shared" si="22"/>
        <v>216</v>
      </c>
      <c r="K84" s="200" t="str">
        <f t="shared" si="19"/>
        <v/>
      </c>
      <c r="S84" s="27"/>
      <c r="T84" s="29"/>
      <c r="W84" s="43"/>
      <c r="X84" s="193" t="str">
        <f t="shared" si="20"/>
        <v xml:space="preserve">216         ;1362rpm | 14° | 4,41ms </v>
      </c>
      <c r="Y84" s="193"/>
      <c r="Z84" s="193"/>
    </row>
    <row r="85" spans="2:26">
      <c r="B85" s="2">
        <f t="shared" si="23"/>
        <v>87</v>
      </c>
      <c r="C85" s="73">
        <f t="shared" si="15"/>
        <v>11.216666666666667</v>
      </c>
      <c r="D85" s="108">
        <f t="shared" si="16"/>
        <v>1346</v>
      </c>
      <c r="E85" s="81">
        <f t="shared" si="21"/>
        <v>123.82367508667656</v>
      </c>
      <c r="F85" s="92">
        <v>14</v>
      </c>
      <c r="G85" s="83">
        <f t="shared" si="17"/>
        <v>4.4576523031203559</v>
      </c>
      <c r="H85" s="42">
        <f t="shared" si="18"/>
        <v>4457.652303120356</v>
      </c>
      <c r="I85" s="42">
        <f t="shared" si="24"/>
        <v>4386</v>
      </c>
      <c r="J85" s="90">
        <f t="shared" si="22"/>
        <v>219</v>
      </c>
      <c r="K85" s="200" t="str">
        <f t="shared" si="19"/>
        <v/>
      </c>
      <c r="S85" s="27"/>
      <c r="T85" s="29"/>
      <c r="W85" s="43"/>
      <c r="X85" s="193" t="str">
        <f t="shared" si="20"/>
        <v xml:space="preserve">219         ;1346rpm | 14° | 4,46ms </v>
      </c>
      <c r="Y85" s="193"/>
      <c r="Z85" s="193"/>
    </row>
    <row r="86" spans="2:26">
      <c r="B86" s="2">
        <f t="shared" si="23"/>
        <v>88</v>
      </c>
      <c r="C86" s="73">
        <f t="shared" si="15"/>
        <v>11.091666666666667</v>
      </c>
      <c r="D86" s="108">
        <f t="shared" si="16"/>
        <v>1331</v>
      </c>
      <c r="E86" s="81">
        <f t="shared" si="21"/>
        <v>125.21913348359628</v>
      </c>
      <c r="F86" s="92">
        <v>14</v>
      </c>
      <c r="G86" s="83">
        <f t="shared" si="17"/>
        <v>4.5078888054094657</v>
      </c>
      <c r="H86" s="42">
        <f t="shared" si="18"/>
        <v>4507.8888054094659</v>
      </c>
      <c r="I86" s="42">
        <f t="shared" si="24"/>
        <v>4436</v>
      </c>
      <c r="J86" s="90">
        <f t="shared" si="22"/>
        <v>221</v>
      </c>
      <c r="K86" s="200" t="str">
        <f t="shared" si="19"/>
        <v/>
      </c>
      <c r="S86" s="27"/>
      <c r="T86" s="29"/>
      <c r="W86" s="43"/>
      <c r="X86" s="193" t="str">
        <f t="shared" si="20"/>
        <v xml:space="preserve">221         ;1331rpm | 14° | 4,51ms </v>
      </c>
      <c r="Y86" s="193"/>
      <c r="Z86" s="193"/>
    </row>
    <row r="87" spans="2:26">
      <c r="B87" s="2">
        <f t="shared" si="23"/>
        <v>89</v>
      </c>
      <c r="C87" s="73">
        <f t="shared" si="15"/>
        <v>10.966666666666667</v>
      </c>
      <c r="D87" s="108">
        <f t="shared" si="16"/>
        <v>1316</v>
      </c>
      <c r="E87" s="81">
        <f t="shared" si="21"/>
        <v>126.64640324214793</v>
      </c>
      <c r="F87" s="92">
        <v>14</v>
      </c>
      <c r="G87" s="83">
        <f t="shared" si="17"/>
        <v>4.5592705167173255</v>
      </c>
      <c r="H87" s="42">
        <f t="shared" si="18"/>
        <v>4559.2705167173253</v>
      </c>
      <c r="I87" s="42">
        <f t="shared" si="24"/>
        <v>4488</v>
      </c>
      <c r="J87" s="90">
        <f t="shared" si="22"/>
        <v>224</v>
      </c>
      <c r="K87" s="200" t="str">
        <f t="shared" si="19"/>
        <v/>
      </c>
      <c r="S87" s="27"/>
      <c r="T87" s="29"/>
      <c r="W87" s="43"/>
      <c r="X87" s="193" t="str">
        <f t="shared" si="20"/>
        <v xml:space="preserve">224         ;1316rpm | 14° | 4,56ms </v>
      </c>
      <c r="Y87" s="193"/>
      <c r="Z87" s="193"/>
    </row>
    <row r="88" spans="2:26">
      <c r="B88" s="2">
        <f t="shared" si="23"/>
        <v>90</v>
      </c>
      <c r="C88" s="73">
        <f t="shared" si="15"/>
        <v>10.85</v>
      </c>
      <c r="D88" s="108">
        <f t="shared" si="16"/>
        <v>1302</v>
      </c>
      <c r="E88" s="81">
        <f t="shared" si="21"/>
        <v>128.00819252432157</v>
      </c>
      <c r="F88" s="92">
        <v>14</v>
      </c>
      <c r="G88" s="83">
        <f t="shared" si="17"/>
        <v>4.6082949308755765</v>
      </c>
      <c r="H88" s="42">
        <f t="shared" si="18"/>
        <v>4608.2949308755769</v>
      </c>
      <c r="I88" s="42">
        <f t="shared" si="24"/>
        <v>4537</v>
      </c>
      <c r="J88" s="90">
        <f t="shared" si="22"/>
        <v>226</v>
      </c>
      <c r="K88" s="200" t="str">
        <f t="shared" si="19"/>
        <v/>
      </c>
      <c r="S88" s="27"/>
      <c r="T88" s="29"/>
      <c r="W88" s="43"/>
      <c r="X88" s="193" t="str">
        <f t="shared" si="20"/>
        <v xml:space="preserve">226         ;1302rpm | 14° | 4,61ms </v>
      </c>
      <c r="Y88" s="193"/>
      <c r="Z88" s="193"/>
    </row>
    <row r="89" spans="2:26">
      <c r="B89" s="2">
        <f t="shared" si="23"/>
        <v>91</v>
      </c>
      <c r="C89" s="73">
        <f t="shared" si="15"/>
        <v>10.725</v>
      </c>
      <c r="D89" s="108">
        <f t="shared" si="16"/>
        <v>1287</v>
      </c>
      <c r="E89" s="81">
        <f t="shared" si="21"/>
        <v>129.5001295001295</v>
      </c>
      <c r="F89" s="92">
        <v>14</v>
      </c>
      <c r="G89" s="83">
        <f t="shared" si="17"/>
        <v>4.6620046620046622</v>
      </c>
      <c r="H89" s="42">
        <f t="shared" si="18"/>
        <v>4662.0046620046624</v>
      </c>
      <c r="I89" s="42">
        <f t="shared" si="24"/>
        <v>4591</v>
      </c>
      <c r="J89" s="90">
        <f t="shared" si="22"/>
        <v>229</v>
      </c>
      <c r="K89" s="200" t="str">
        <f t="shared" si="19"/>
        <v/>
      </c>
      <c r="T89" s="29"/>
      <c r="W89" s="43"/>
      <c r="X89" s="193" t="str">
        <f t="shared" si="20"/>
        <v xml:space="preserve">229         ;1287rpm | 14° | 4,66ms </v>
      </c>
      <c r="Y89" s="193"/>
      <c r="Z89" s="193"/>
    </row>
    <row r="90" spans="2:26">
      <c r="B90" s="2">
        <f t="shared" si="23"/>
        <v>92</v>
      </c>
      <c r="C90" s="73">
        <f t="shared" si="15"/>
        <v>10.608333333333333</v>
      </c>
      <c r="D90" s="108">
        <f t="shared" si="16"/>
        <v>1273</v>
      </c>
      <c r="E90" s="81">
        <f t="shared" si="21"/>
        <v>130.92432573972243</v>
      </c>
      <c r="F90" s="92">
        <v>14</v>
      </c>
      <c r="G90" s="83">
        <f t="shared" si="17"/>
        <v>4.713275726630008</v>
      </c>
      <c r="H90" s="42">
        <f t="shared" si="18"/>
        <v>4713.2757266300077</v>
      </c>
      <c r="I90" s="42">
        <f t="shared" si="24"/>
        <v>4642</v>
      </c>
      <c r="J90" s="90">
        <f t="shared" si="22"/>
        <v>232</v>
      </c>
      <c r="K90" s="200" t="str">
        <f t="shared" si="19"/>
        <v/>
      </c>
      <c r="T90" s="29"/>
      <c r="W90" s="43"/>
      <c r="X90" s="193" t="str">
        <f t="shared" si="20"/>
        <v xml:space="preserve">232         ;1273rpm | 14° | 4,71ms </v>
      </c>
      <c r="Y90" s="193"/>
      <c r="Z90" s="193"/>
    </row>
    <row r="91" spans="2:26">
      <c r="B91" s="2">
        <f t="shared" si="23"/>
        <v>93</v>
      </c>
      <c r="C91" s="73">
        <f t="shared" si="15"/>
        <v>10.5</v>
      </c>
      <c r="D91" s="108">
        <f t="shared" si="16"/>
        <v>1260</v>
      </c>
      <c r="E91" s="81">
        <f t="shared" si="21"/>
        <v>132.27513227513228</v>
      </c>
      <c r="F91" s="92">
        <v>14</v>
      </c>
      <c r="G91" s="83">
        <f t="shared" si="17"/>
        <v>4.7619047619047628</v>
      </c>
      <c r="H91" s="42">
        <f t="shared" si="18"/>
        <v>4761.9047619047624</v>
      </c>
      <c r="I91" s="42">
        <f t="shared" si="24"/>
        <v>4690</v>
      </c>
      <c r="J91" s="90">
        <f t="shared" si="22"/>
        <v>234</v>
      </c>
      <c r="K91" s="200" t="str">
        <f t="shared" si="19"/>
        <v/>
      </c>
      <c r="T91" s="29"/>
      <c r="W91" s="43"/>
      <c r="X91" s="193" t="str">
        <f t="shared" si="20"/>
        <v xml:space="preserve">234         ;1260rpm | 14° | 4,76ms </v>
      </c>
      <c r="Y91" s="193"/>
      <c r="Z91" s="193"/>
    </row>
    <row r="92" spans="2:26">
      <c r="B92" s="2">
        <f t="shared" si="23"/>
        <v>94</v>
      </c>
      <c r="C92" s="73">
        <f t="shared" si="15"/>
        <v>10.383333333333333</v>
      </c>
      <c r="D92" s="108">
        <f t="shared" si="16"/>
        <v>1246</v>
      </c>
      <c r="E92" s="81">
        <f t="shared" si="21"/>
        <v>133.76136971642589</v>
      </c>
      <c r="F92" s="92">
        <v>14</v>
      </c>
      <c r="G92" s="83">
        <f t="shared" si="17"/>
        <v>4.815409309791332</v>
      </c>
      <c r="H92" s="42">
        <f t="shared" si="18"/>
        <v>4815.4093097913319</v>
      </c>
      <c r="I92" s="42">
        <f t="shared" si="24"/>
        <v>4744</v>
      </c>
      <c r="J92" s="90">
        <f t="shared" si="22"/>
        <v>237</v>
      </c>
      <c r="K92" s="200" t="str">
        <f t="shared" si="19"/>
        <v/>
      </c>
      <c r="T92" s="29"/>
      <c r="W92" s="43"/>
      <c r="X92" s="193" t="str">
        <f t="shared" si="20"/>
        <v xml:space="preserve">237         ;1246rpm | 14° | 4,82ms </v>
      </c>
      <c r="Y92" s="193"/>
      <c r="Z92" s="193"/>
    </row>
    <row r="93" spans="2:26">
      <c r="B93" s="2">
        <f t="shared" si="23"/>
        <v>95</v>
      </c>
      <c r="C93" s="73">
        <f t="shared" si="15"/>
        <v>10.275</v>
      </c>
      <c r="D93" s="108">
        <f t="shared" si="16"/>
        <v>1233</v>
      </c>
      <c r="E93" s="81">
        <f t="shared" si="21"/>
        <v>135.17166801838334</v>
      </c>
      <c r="F93" s="92">
        <v>14</v>
      </c>
      <c r="G93" s="83">
        <f t="shared" si="17"/>
        <v>4.8661800486618008</v>
      </c>
      <c r="H93" s="42">
        <f t="shared" si="18"/>
        <v>4866.1800486618004</v>
      </c>
      <c r="I93" s="42">
        <f t="shared" si="24"/>
        <v>4795</v>
      </c>
      <c r="J93" s="90">
        <f t="shared" si="22"/>
        <v>239</v>
      </c>
      <c r="K93" s="200" t="str">
        <f t="shared" si="19"/>
        <v/>
      </c>
      <c r="T93" s="29"/>
      <c r="W93" s="43"/>
      <c r="X93" s="193" t="str">
        <f t="shared" si="20"/>
        <v xml:space="preserve">239         ;1233rpm | 14° | 4,87ms </v>
      </c>
      <c r="Y93" s="193"/>
      <c r="Z93" s="193"/>
    </row>
    <row r="94" spans="2:26">
      <c r="B94" s="2">
        <f t="shared" si="23"/>
        <v>96</v>
      </c>
      <c r="C94" s="73">
        <f t="shared" si="15"/>
        <v>10.166666666666666</v>
      </c>
      <c r="D94" s="108">
        <f t="shared" si="16"/>
        <v>1220</v>
      </c>
      <c r="E94" s="81">
        <f t="shared" si="21"/>
        <v>136.61202185792351</v>
      </c>
      <c r="F94" s="92">
        <v>14</v>
      </c>
      <c r="G94" s="83">
        <f t="shared" si="17"/>
        <v>4.918032786885246</v>
      </c>
      <c r="H94" s="42">
        <f t="shared" si="18"/>
        <v>4918.0327868852464</v>
      </c>
      <c r="I94" s="42">
        <f t="shared" si="24"/>
        <v>4847</v>
      </c>
      <c r="J94" s="90">
        <f t="shared" si="22"/>
        <v>242</v>
      </c>
      <c r="K94" s="200" t="str">
        <f t="shared" si="19"/>
        <v/>
      </c>
      <c r="T94" s="29"/>
      <c r="W94" s="43"/>
      <c r="X94" s="193" t="str">
        <f t="shared" si="20"/>
        <v xml:space="preserve">242         ;1220rpm | 14° | 4,92ms </v>
      </c>
      <c r="Y94" s="193"/>
      <c r="Z94" s="193"/>
    </row>
    <row r="95" spans="2:26">
      <c r="B95" s="2">
        <f t="shared" si="23"/>
        <v>97</v>
      </c>
      <c r="C95" s="73">
        <f t="shared" si="15"/>
        <v>10.066666666666666</v>
      </c>
      <c r="D95" s="108">
        <f t="shared" si="16"/>
        <v>1208</v>
      </c>
      <c r="E95" s="81">
        <f t="shared" si="21"/>
        <v>137.9690949227373</v>
      </c>
      <c r="F95" s="92">
        <v>14</v>
      </c>
      <c r="G95" s="83">
        <f t="shared" si="17"/>
        <v>4.9668874172185422</v>
      </c>
      <c r="H95" s="42">
        <f t="shared" si="18"/>
        <v>4966.8874172185424</v>
      </c>
      <c r="I95" s="42">
        <f t="shared" si="24"/>
        <v>4895</v>
      </c>
      <c r="J95" s="90">
        <f t="shared" si="22"/>
        <v>244</v>
      </c>
      <c r="K95" s="200" t="str">
        <f t="shared" si="19"/>
        <v/>
      </c>
      <c r="T95" s="29"/>
      <c r="W95" s="43"/>
      <c r="X95" s="193" t="str">
        <f t="shared" si="20"/>
        <v xml:space="preserve">244         ;1208rpm | 14° | 4,97ms </v>
      </c>
      <c r="Y95" s="193"/>
      <c r="Z95" s="193"/>
    </row>
    <row r="96" spans="2:26">
      <c r="B96" s="2">
        <f t="shared" si="23"/>
        <v>98</v>
      </c>
      <c r="C96" s="73">
        <f t="shared" si="15"/>
        <v>9.9583333333333339</v>
      </c>
      <c r="D96" s="108">
        <f t="shared" si="16"/>
        <v>1195</v>
      </c>
      <c r="E96" s="81">
        <f t="shared" si="21"/>
        <v>139.47001394700141</v>
      </c>
      <c r="F96" s="92">
        <v>14</v>
      </c>
      <c r="G96" s="83">
        <f t="shared" si="17"/>
        <v>5.0209205020920509</v>
      </c>
      <c r="H96" s="42">
        <f t="shared" si="18"/>
        <v>5020.9205020920508</v>
      </c>
      <c r="I96" s="42">
        <f t="shared" si="24"/>
        <v>4949</v>
      </c>
      <c r="J96" s="90">
        <f t="shared" si="22"/>
        <v>247</v>
      </c>
      <c r="K96" s="200" t="str">
        <f t="shared" si="19"/>
        <v/>
      </c>
      <c r="T96" s="29"/>
      <c r="W96" s="43"/>
      <c r="X96" s="193" t="str">
        <f t="shared" si="20"/>
        <v xml:space="preserve">247         ;1195rpm | 14° | 5,02ms </v>
      </c>
      <c r="Y96" s="193"/>
      <c r="Z96" s="193"/>
    </row>
    <row r="97" spans="2:26">
      <c r="B97" s="2">
        <f t="shared" si="23"/>
        <v>99</v>
      </c>
      <c r="C97" s="73">
        <f t="shared" si="15"/>
        <v>9.8583333333333325</v>
      </c>
      <c r="D97" s="108">
        <f t="shared" si="16"/>
        <v>1183</v>
      </c>
      <c r="E97" s="81">
        <f t="shared" si="21"/>
        <v>140.88475626937165</v>
      </c>
      <c r="F97" s="92">
        <v>14</v>
      </c>
      <c r="G97" s="83">
        <f t="shared" si="17"/>
        <v>5.0718512256973787</v>
      </c>
      <c r="H97" s="42">
        <f t="shared" si="18"/>
        <v>5071.851225697379</v>
      </c>
      <c r="I97" s="42">
        <f t="shared" si="24"/>
        <v>5000</v>
      </c>
      <c r="J97" s="90">
        <f t="shared" si="22"/>
        <v>250</v>
      </c>
      <c r="K97" s="200" t="str">
        <f t="shared" si="19"/>
        <v/>
      </c>
      <c r="S97" s="27"/>
      <c r="T97" s="29"/>
      <c r="W97" s="43"/>
      <c r="X97" s="193" t="str">
        <f t="shared" si="20"/>
        <v xml:space="preserve">250         ;1183rpm | 14° | 5,07ms </v>
      </c>
      <c r="Y97" s="193"/>
      <c r="Z97" s="193"/>
    </row>
    <row r="98" spans="2:26">
      <c r="B98" s="2">
        <f t="shared" si="23"/>
        <v>100</v>
      </c>
      <c r="C98" s="73">
        <f t="shared" si="15"/>
        <v>9.7583333333333329</v>
      </c>
      <c r="D98" s="108">
        <f t="shared" si="16"/>
        <v>1171</v>
      </c>
      <c r="E98" s="81">
        <f t="shared" si="21"/>
        <v>142.32849416453172</v>
      </c>
      <c r="F98" s="92">
        <v>14</v>
      </c>
      <c r="G98" s="83">
        <f t="shared" si="17"/>
        <v>5.1238257899231421</v>
      </c>
      <c r="H98" s="42">
        <f t="shared" si="18"/>
        <v>5123.8257899231421</v>
      </c>
      <c r="I98" s="42">
        <f t="shared" si="24"/>
        <v>5052</v>
      </c>
      <c r="J98" s="90">
        <f t="shared" si="22"/>
        <v>252</v>
      </c>
      <c r="K98" s="200" t="str">
        <f t="shared" si="19"/>
        <v/>
      </c>
      <c r="S98" s="27"/>
      <c r="T98" s="29"/>
      <c r="W98" s="43"/>
      <c r="X98" s="193" t="str">
        <f t="shared" si="20"/>
        <v xml:space="preserve">252         ;1171rpm | 14° | 5,12ms </v>
      </c>
      <c r="Y98" s="193"/>
      <c r="Z98" s="193"/>
    </row>
    <row r="99" spans="2:26">
      <c r="B99" s="2">
        <f t="shared" si="23"/>
        <v>101</v>
      </c>
      <c r="C99" s="73">
        <f t="shared" si="15"/>
        <v>9.6666666666666661</v>
      </c>
      <c r="D99" s="108">
        <f t="shared" si="16"/>
        <v>1160</v>
      </c>
      <c r="E99" s="81">
        <f t="shared" si="21"/>
        <v>143.67816091954023</v>
      </c>
      <c r="F99" s="92">
        <v>14</v>
      </c>
      <c r="G99" s="83">
        <f t="shared" si="17"/>
        <v>5.1724137931034484</v>
      </c>
      <c r="H99" s="42">
        <f t="shared" si="18"/>
        <v>5172.4137931034484</v>
      </c>
      <c r="I99" s="42">
        <f t="shared" si="24"/>
        <v>5101</v>
      </c>
      <c r="J99" s="90">
        <f t="shared" si="22"/>
        <v>255</v>
      </c>
      <c r="K99" s="200" t="str">
        <f t="shared" si="19"/>
        <v>WARNING: Timing will be more then 14°</v>
      </c>
      <c r="S99" s="27"/>
      <c r="T99" s="29"/>
      <c r="W99" s="43"/>
      <c r="X99" s="193" t="str">
        <f t="shared" si="20"/>
        <v xml:space="preserve">255         ;1160rpm | 14° | 5,17ms </v>
      </c>
      <c r="Y99" s="193"/>
      <c r="Z99" s="193"/>
    </row>
    <row r="100" spans="2:26">
      <c r="B100" s="2">
        <f t="shared" si="23"/>
        <v>102</v>
      </c>
      <c r="C100" s="73">
        <f t="shared" si="15"/>
        <v>9.5666666666666664</v>
      </c>
      <c r="D100" s="108">
        <f t="shared" si="16"/>
        <v>1148</v>
      </c>
      <c r="E100" s="81">
        <f t="shared" si="21"/>
        <v>145.18002322880372</v>
      </c>
      <c r="F100" s="92">
        <v>14</v>
      </c>
      <c r="G100" s="83">
        <f t="shared" si="17"/>
        <v>5.2264808362369344</v>
      </c>
      <c r="H100" s="42">
        <f t="shared" si="18"/>
        <v>5226.480836236934</v>
      </c>
      <c r="I100" s="42">
        <f t="shared" si="24"/>
        <v>5155</v>
      </c>
      <c r="J100" s="90">
        <f t="shared" si="22"/>
        <v>255</v>
      </c>
      <c r="K100" s="200" t="str">
        <f t="shared" si="19"/>
        <v>WARNING: Timing will be more then 14°</v>
      </c>
      <c r="S100" s="27"/>
      <c r="T100" s="29"/>
      <c r="W100" s="43"/>
      <c r="X100" s="193" t="str">
        <f t="shared" si="20"/>
        <v xml:space="preserve">255         ;1148rpm | 14° | 5,23ms </v>
      </c>
      <c r="Y100" s="193"/>
      <c r="Z100" s="193"/>
    </row>
    <row r="101" spans="2:26">
      <c r="B101" s="2">
        <f t="shared" si="23"/>
        <v>103</v>
      </c>
      <c r="C101" s="73">
        <f t="shared" si="15"/>
        <v>9.4749999999999996</v>
      </c>
      <c r="D101" s="108">
        <f t="shared" si="16"/>
        <v>1137</v>
      </c>
      <c r="E101" s="81">
        <f t="shared" si="21"/>
        <v>146.5845793022574</v>
      </c>
      <c r="F101" s="92">
        <v>14</v>
      </c>
      <c r="G101" s="83">
        <f t="shared" si="17"/>
        <v>5.2770448548812663</v>
      </c>
      <c r="H101" s="42">
        <f t="shared" si="18"/>
        <v>5277.0448548812665</v>
      </c>
      <c r="I101" s="42">
        <f t="shared" si="24"/>
        <v>5206</v>
      </c>
      <c r="J101" s="90">
        <f t="shared" si="22"/>
        <v>255</v>
      </c>
      <c r="K101" s="200" t="str">
        <f t="shared" si="19"/>
        <v>WARNING: Timing will be more then 14°</v>
      </c>
      <c r="S101" s="27"/>
      <c r="T101" s="29"/>
      <c r="W101" s="43"/>
      <c r="X101" s="193" t="str">
        <f t="shared" si="20"/>
        <v xml:space="preserve">255         ;1137rpm | 14° | 5,28ms </v>
      </c>
      <c r="Y101" s="193"/>
      <c r="Z101" s="193"/>
    </row>
    <row r="102" spans="2:26">
      <c r="B102" s="2">
        <f t="shared" si="23"/>
        <v>104</v>
      </c>
      <c r="C102" s="73">
        <f t="shared" si="15"/>
        <v>9.3833333333333329</v>
      </c>
      <c r="D102" s="108">
        <f t="shared" si="16"/>
        <v>1126</v>
      </c>
      <c r="E102" s="81">
        <f t="shared" si="21"/>
        <v>148.01657785671995</v>
      </c>
      <c r="F102" s="92">
        <v>14</v>
      </c>
      <c r="G102" s="83">
        <f t="shared" si="17"/>
        <v>5.3285968028419184</v>
      </c>
      <c r="H102" s="42">
        <f t="shared" si="18"/>
        <v>5328.5968028419184</v>
      </c>
      <c r="I102" s="42">
        <f t="shared" si="24"/>
        <v>5257</v>
      </c>
      <c r="J102" s="90">
        <f t="shared" si="22"/>
        <v>255</v>
      </c>
      <c r="K102" s="200" t="str">
        <f t="shared" si="19"/>
        <v>WARNING: Timing will be more then 14°</v>
      </c>
      <c r="S102" s="27"/>
      <c r="T102" s="29"/>
      <c r="W102" s="43"/>
      <c r="X102" s="193" t="str">
        <f t="shared" si="20"/>
        <v xml:space="preserve">255         ;1126rpm | 14° | 5,33ms </v>
      </c>
      <c r="Y102" s="193"/>
      <c r="Z102" s="193"/>
    </row>
    <row r="103" spans="2:26" ht="13.5" thickBot="1">
      <c r="B103" s="60">
        <f t="shared" si="23"/>
        <v>105</v>
      </c>
      <c r="C103" s="74">
        <f t="shared" si="15"/>
        <v>9.3000000000000007</v>
      </c>
      <c r="D103" s="108">
        <f t="shared" si="16"/>
        <v>1116</v>
      </c>
      <c r="E103" s="81">
        <f t="shared" si="21"/>
        <v>149.34289127837513</v>
      </c>
      <c r="F103" s="96">
        <v>14</v>
      </c>
      <c r="G103" s="84">
        <f t="shared" si="17"/>
        <v>5.376344086021505</v>
      </c>
      <c r="H103" s="50">
        <f t="shared" si="18"/>
        <v>5376.3440860215051</v>
      </c>
      <c r="I103" s="50">
        <f t="shared" si="24"/>
        <v>5305</v>
      </c>
      <c r="J103" s="91">
        <f t="shared" si="22"/>
        <v>255</v>
      </c>
      <c r="K103" s="200" t="str">
        <f>IF($I103/$J$5&gt;255,CONCATENATE("WARNING: Timing will be more then ",F103,"°"),"")</f>
        <v>WARNING: Timing will be more then 14°</v>
      </c>
      <c r="S103" s="27"/>
      <c r="T103" s="29"/>
      <c r="W103" s="43"/>
      <c r="X103" s="193" t="str">
        <f t="shared" si="20"/>
        <v xml:space="preserve">255         ;1116rpm | 14° | 5,38ms </v>
      </c>
      <c r="Y103" s="193"/>
      <c r="Z103" s="193"/>
    </row>
    <row r="104" spans="2:26">
      <c r="B104" s="36"/>
      <c r="C104" s="36"/>
      <c r="D104" s="37"/>
      <c r="E104" s="37"/>
      <c r="F104" s="38"/>
      <c r="G104" s="39"/>
      <c r="H104" s="39"/>
      <c r="I104" s="39"/>
      <c r="S104" s="27"/>
      <c r="T104" s="29"/>
      <c r="W104" s="43"/>
      <c r="X104" s="193" t="str">
        <f t="shared" si="20"/>
        <v xml:space="preserve">         ;0rpm | 0° | 0ms </v>
      </c>
      <c r="Y104" s="193"/>
      <c r="Z104" s="193"/>
    </row>
    <row r="105" spans="2:26">
      <c r="B105" s="36"/>
      <c r="C105" s="36"/>
      <c r="D105" s="37"/>
      <c r="E105" s="37"/>
      <c r="F105" s="38"/>
      <c r="G105" s="39"/>
      <c r="H105" s="39"/>
      <c r="I105" s="39"/>
      <c r="S105" s="27"/>
    </row>
    <row r="106" spans="2:26">
      <c r="B106" s="36"/>
      <c r="C106" s="36"/>
      <c r="D106" s="37"/>
      <c r="E106" s="37"/>
      <c r="F106" s="38"/>
      <c r="G106" s="39"/>
      <c r="H106" s="39"/>
      <c r="I106" s="39"/>
      <c r="S106" s="27"/>
    </row>
    <row r="107" spans="2:26">
      <c r="B107" s="36"/>
      <c r="C107" s="36"/>
      <c r="D107" s="37"/>
      <c r="E107" s="37"/>
      <c r="F107" s="38"/>
      <c r="G107" s="39"/>
      <c r="H107" s="39"/>
      <c r="I107" s="39"/>
      <c r="S107" s="27"/>
    </row>
    <row r="108" spans="2:26">
      <c r="B108" s="36"/>
      <c r="C108" s="36"/>
      <c r="D108" s="37"/>
      <c r="E108" s="37"/>
      <c r="F108" s="38"/>
      <c r="G108" s="39"/>
      <c r="H108" s="39"/>
      <c r="I108" s="39"/>
      <c r="S108" s="27"/>
    </row>
    <row r="109" spans="2:26">
      <c r="B109" s="36"/>
      <c r="C109" s="36"/>
      <c r="D109" s="37"/>
      <c r="E109" s="37"/>
      <c r="F109" s="38"/>
      <c r="G109" s="39"/>
      <c r="H109" s="39"/>
      <c r="I109" s="39"/>
      <c r="S109" s="27"/>
    </row>
    <row r="110" spans="2:26">
      <c r="B110" s="36"/>
      <c r="C110" s="36"/>
      <c r="D110" s="37"/>
      <c r="E110" s="37"/>
      <c r="F110" s="38"/>
      <c r="G110" s="39"/>
      <c r="H110" s="39"/>
      <c r="I110" s="39"/>
      <c r="S110" s="27"/>
    </row>
    <row r="111" spans="2:26">
      <c r="B111" s="36"/>
      <c r="C111" s="36"/>
      <c r="D111" s="37"/>
      <c r="E111" s="37"/>
      <c r="F111" s="38"/>
      <c r="G111" s="39"/>
      <c r="H111" s="39"/>
      <c r="I111" s="39"/>
      <c r="S111" s="27"/>
    </row>
    <row r="112" spans="2:26">
      <c r="B112" s="36"/>
      <c r="C112" s="36"/>
      <c r="D112" s="37"/>
      <c r="E112" s="37"/>
      <c r="F112" s="38"/>
      <c r="G112" s="39"/>
      <c r="H112" s="39"/>
      <c r="I112" s="39"/>
      <c r="S112" s="27"/>
    </row>
    <row r="113" spans="2:19">
      <c r="B113" s="36"/>
      <c r="C113" s="36"/>
      <c r="D113" s="37"/>
      <c r="E113" s="37"/>
      <c r="F113" s="38"/>
      <c r="G113" s="39"/>
      <c r="H113" s="39"/>
      <c r="I113" s="39"/>
      <c r="S113" s="27"/>
    </row>
    <row r="114" spans="2:19">
      <c r="B114" s="36"/>
      <c r="C114" s="36"/>
      <c r="D114" s="37"/>
      <c r="E114" s="37"/>
      <c r="F114" s="38"/>
      <c r="G114" s="39"/>
      <c r="H114" s="39"/>
      <c r="I114" s="39"/>
      <c r="S114" s="27"/>
    </row>
    <row r="115" spans="2:19">
      <c r="B115" s="36"/>
      <c r="C115" s="36"/>
      <c r="D115" s="37"/>
      <c r="E115" s="37"/>
      <c r="F115" s="38"/>
      <c r="G115" s="39"/>
      <c r="H115" s="39"/>
      <c r="I115" s="39"/>
      <c r="S115" s="27"/>
    </row>
    <row r="116" spans="2:19">
      <c r="B116" s="36"/>
      <c r="C116" s="36"/>
      <c r="D116" s="37"/>
      <c r="E116" s="37"/>
      <c r="F116" s="38"/>
      <c r="G116" s="39"/>
      <c r="H116" s="39"/>
      <c r="I116" s="39"/>
      <c r="S116" s="27"/>
    </row>
    <row r="117" spans="2:19">
      <c r="B117" s="36"/>
      <c r="C117" s="36"/>
      <c r="D117" s="37"/>
      <c r="E117" s="37"/>
      <c r="F117" s="38"/>
      <c r="G117" s="39"/>
      <c r="H117" s="39"/>
      <c r="I117" s="39"/>
      <c r="S117" s="27"/>
    </row>
    <row r="118" spans="2:19">
      <c r="B118" s="36"/>
      <c r="C118" s="36"/>
      <c r="D118" s="37"/>
      <c r="E118" s="37"/>
      <c r="F118" s="38"/>
      <c r="G118" s="39"/>
      <c r="H118" s="39"/>
      <c r="I118" s="39"/>
      <c r="S118" s="27"/>
    </row>
    <row r="119" spans="2:19">
      <c r="B119" s="36"/>
      <c r="C119" s="36"/>
      <c r="D119" s="37"/>
      <c r="E119" s="37"/>
      <c r="F119" s="38"/>
      <c r="G119" s="39"/>
      <c r="H119" s="39"/>
      <c r="I119" s="39"/>
      <c r="S119" s="27"/>
    </row>
    <row r="120" spans="2:19">
      <c r="B120" s="36"/>
      <c r="C120" s="36"/>
      <c r="D120" s="37"/>
      <c r="E120" s="37"/>
      <c r="F120" s="38"/>
      <c r="G120" s="39"/>
      <c r="H120" s="39"/>
      <c r="I120" s="39"/>
      <c r="S120" s="27"/>
    </row>
    <row r="121" spans="2:19">
      <c r="B121" s="36"/>
      <c r="C121" s="36"/>
      <c r="D121" s="37"/>
      <c r="E121" s="37"/>
      <c r="F121" s="38"/>
      <c r="G121" s="39"/>
      <c r="H121" s="39"/>
      <c r="I121" s="39"/>
      <c r="S121" s="27"/>
    </row>
    <row r="122" spans="2:19">
      <c r="B122" s="36"/>
      <c r="C122" s="36"/>
      <c r="D122" s="37"/>
      <c r="E122" s="37"/>
      <c r="F122" s="38"/>
      <c r="G122" s="39"/>
      <c r="H122" s="39"/>
      <c r="I122" s="39"/>
      <c r="S122" s="27"/>
    </row>
    <row r="123" spans="2:19">
      <c r="B123" s="36"/>
      <c r="C123" s="36"/>
      <c r="D123" s="37"/>
      <c r="E123" s="37"/>
      <c r="F123" s="38"/>
      <c r="G123" s="39"/>
      <c r="H123" s="39"/>
      <c r="I123" s="39"/>
      <c r="S123" s="27"/>
    </row>
    <row r="124" spans="2:19">
      <c r="B124" s="36"/>
      <c r="C124" s="36"/>
      <c r="D124" s="37"/>
      <c r="E124" s="37"/>
      <c r="F124" s="38"/>
      <c r="G124" s="39"/>
      <c r="H124" s="39"/>
      <c r="I124" s="39"/>
      <c r="S124" s="27"/>
    </row>
    <row r="125" spans="2:19">
      <c r="B125" s="36"/>
      <c r="C125" s="36"/>
      <c r="D125" s="37"/>
      <c r="E125" s="37"/>
      <c r="F125" s="38"/>
      <c r="G125" s="39"/>
      <c r="H125" s="39"/>
      <c r="I125" s="39"/>
      <c r="S125" s="27"/>
    </row>
    <row r="126" spans="2:19">
      <c r="B126" s="36"/>
      <c r="C126" s="36"/>
      <c r="D126" s="37"/>
      <c r="E126" s="37"/>
      <c r="F126" s="38"/>
      <c r="G126" s="39"/>
      <c r="H126" s="39"/>
      <c r="I126" s="39"/>
      <c r="S126" s="27"/>
    </row>
    <row r="127" spans="2:19">
      <c r="B127" s="36"/>
      <c r="C127" s="36"/>
      <c r="D127" s="37"/>
      <c r="E127" s="37"/>
      <c r="F127" s="38"/>
      <c r="G127" s="39"/>
      <c r="H127" s="39"/>
      <c r="I127" s="39"/>
      <c r="S127" s="27"/>
    </row>
    <row r="128" spans="2:19">
      <c r="B128" s="36"/>
      <c r="C128" s="36"/>
      <c r="D128" s="37"/>
      <c r="E128" s="37"/>
      <c r="F128" s="38"/>
      <c r="G128" s="39"/>
      <c r="H128" s="39"/>
      <c r="I128" s="39"/>
      <c r="S128" s="27"/>
    </row>
    <row r="129" spans="2:19">
      <c r="B129" s="36"/>
      <c r="C129" s="36"/>
      <c r="D129" s="37"/>
      <c r="E129" s="37"/>
      <c r="F129" s="38"/>
      <c r="G129" s="39"/>
      <c r="H129" s="39"/>
      <c r="I129" s="39"/>
      <c r="S129" s="27"/>
    </row>
    <row r="130" spans="2:19">
      <c r="B130" s="36"/>
      <c r="C130" s="36"/>
      <c r="D130" s="37"/>
      <c r="E130" s="37"/>
      <c r="F130" s="38"/>
      <c r="G130" s="39"/>
      <c r="H130" s="39"/>
      <c r="I130" s="39"/>
      <c r="S130" s="27"/>
    </row>
    <row r="131" spans="2:19">
      <c r="B131" s="36"/>
      <c r="C131" s="36"/>
      <c r="D131" s="37"/>
      <c r="E131" s="37"/>
      <c r="F131" s="38"/>
      <c r="G131" s="39"/>
      <c r="H131" s="39"/>
      <c r="I131" s="39"/>
    </row>
    <row r="132" spans="2:19">
      <c r="B132" s="36"/>
      <c r="C132" s="36"/>
      <c r="D132" s="37"/>
      <c r="E132" s="37"/>
      <c r="F132" s="38"/>
      <c r="G132" s="39"/>
      <c r="H132" s="39"/>
      <c r="I132" s="39"/>
    </row>
    <row r="133" spans="2:19">
      <c r="B133" s="36"/>
      <c r="C133" s="36"/>
      <c r="D133" s="37"/>
      <c r="E133" s="37"/>
      <c r="F133" s="38"/>
      <c r="G133" s="39"/>
      <c r="H133" s="39"/>
      <c r="I133" s="39"/>
    </row>
    <row r="134" spans="2:19">
      <c r="B134" s="36"/>
      <c r="C134" s="36"/>
      <c r="D134" s="37"/>
      <c r="E134" s="37"/>
      <c r="F134" s="38"/>
      <c r="G134" s="39"/>
      <c r="H134" s="39"/>
      <c r="I134" s="39"/>
    </row>
    <row r="135" spans="2:19">
      <c r="B135" s="36"/>
      <c r="C135" s="36"/>
      <c r="D135" s="37"/>
      <c r="E135" s="37"/>
      <c r="F135" s="38"/>
      <c r="G135" s="39"/>
      <c r="H135" s="39"/>
      <c r="I135" s="39"/>
    </row>
    <row r="136" spans="2:19">
      <c r="B136" s="36"/>
      <c r="C136" s="36"/>
      <c r="D136" s="37"/>
      <c r="E136" s="37"/>
      <c r="F136" s="38"/>
      <c r="G136" s="39"/>
      <c r="H136" s="39"/>
      <c r="I136" s="39"/>
    </row>
    <row r="137" spans="2:19">
      <c r="B137" s="36"/>
      <c r="C137" s="36"/>
      <c r="D137" s="37"/>
      <c r="E137" s="37"/>
      <c r="F137" s="38"/>
      <c r="G137" s="39"/>
      <c r="H137" s="39"/>
      <c r="I137" s="39"/>
    </row>
    <row r="138" spans="2:19">
      <c r="B138" s="36"/>
      <c r="C138" s="36"/>
      <c r="D138" s="37"/>
      <c r="E138" s="37"/>
      <c r="F138" s="38"/>
      <c r="G138" s="39"/>
      <c r="H138" s="39"/>
      <c r="I138" s="39"/>
    </row>
    <row r="139" spans="2:19">
      <c r="B139" s="36"/>
      <c r="C139" s="36"/>
      <c r="D139" s="37"/>
      <c r="E139" s="37"/>
      <c r="F139" s="38"/>
      <c r="G139" s="39"/>
      <c r="H139" s="39"/>
      <c r="I139" s="39"/>
    </row>
    <row r="140" spans="2:19">
      <c r="B140" s="36"/>
      <c r="C140" s="36"/>
      <c r="D140" s="37"/>
      <c r="E140" s="37"/>
      <c r="F140" s="38"/>
      <c r="G140" s="39"/>
      <c r="H140" s="39"/>
      <c r="I140" s="39"/>
    </row>
    <row r="141" spans="2:19">
      <c r="B141" s="36"/>
      <c r="C141" s="36"/>
      <c r="D141" s="37"/>
      <c r="E141" s="37"/>
      <c r="F141" s="38"/>
      <c r="G141" s="39"/>
      <c r="H141" s="39"/>
      <c r="I141" s="39"/>
    </row>
    <row r="142" spans="2:19">
      <c r="B142" s="36"/>
      <c r="C142" s="36"/>
      <c r="D142" s="37"/>
      <c r="E142" s="37"/>
      <c r="F142" s="38"/>
      <c r="G142" s="39"/>
      <c r="H142" s="39"/>
      <c r="I142" s="39"/>
    </row>
    <row r="143" spans="2:19">
      <c r="B143" s="36"/>
      <c r="C143" s="36"/>
      <c r="D143" s="37"/>
      <c r="E143" s="37"/>
      <c r="F143" s="38"/>
      <c r="G143" s="39"/>
      <c r="H143" s="39"/>
      <c r="I143" s="39"/>
    </row>
    <row r="144" spans="2:19">
      <c r="B144" s="36"/>
      <c r="C144" s="36"/>
      <c r="D144" s="37"/>
      <c r="E144" s="37"/>
      <c r="F144" s="38"/>
      <c r="G144" s="39"/>
      <c r="H144" s="39"/>
      <c r="I144" s="39"/>
    </row>
    <row r="145" spans="2:9">
      <c r="B145" s="36"/>
      <c r="C145" s="36"/>
      <c r="D145" s="37"/>
      <c r="E145" s="37"/>
      <c r="F145" s="38"/>
      <c r="G145" s="39"/>
      <c r="H145" s="39"/>
      <c r="I145" s="39"/>
    </row>
    <row r="146" spans="2:9">
      <c r="B146" s="36"/>
      <c r="C146" s="36"/>
      <c r="D146" s="37"/>
      <c r="E146" s="37"/>
      <c r="F146" s="38"/>
      <c r="G146" s="39"/>
      <c r="H146" s="39"/>
      <c r="I146" s="39"/>
    </row>
  </sheetData>
  <sheetProtection sheet="1" objects="1" scenarios="1" selectLockedCells="1"/>
  <phoneticPr fontId="0" type="noConversion"/>
  <conditionalFormatting sqref="J9:J103">
    <cfRule type="containsText" dxfId="1" priority="3" stopIfTrue="1" operator="containsText" text="retlw">
      <formula>NOT(ISERROR(SEARCH("retlw",J9)))</formula>
    </cfRule>
  </conditionalFormatting>
  <dataValidations xWindow="211" yWindow="252" count="8">
    <dataValidation type="list" allowBlank="1" showInputMessage="1" showErrorMessage="1" sqref="M24" xr:uid="{00000000-0002-0000-0100-000000000000}">
      <formula1>"1,2"</formula1>
    </dataValidation>
    <dataValidation type="list" showInputMessage="1" showErrorMessage="1" error="Out of range !" sqref="B9" xr:uid="{00000000-0002-0000-0100-000001000000}">
      <formula1>"1,2,3,4,5,6,7,8,9,10,11,12,13,14,15,16,17,18,19,20,21,22,23,24,25,26,27,28,29,30,31,32,33,34,35,36,37,38,39,40"</formula1>
    </dataValidation>
    <dataValidation type="list" allowBlank="1" showInputMessage="1" showErrorMessage="1" sqref="M30" xr:uid="{00000000-0002-0000-0100-000002000000}">
      <formula1>"1,2,4,8"</formula1>
    </dataValidation>
    <dataValidation type="list" allowBlank="1" showInputMessage="1" showErrorMessage="1" sqref="J5" xr:uid="{00000000-0002-0000-0100-000003000000}">
      <formula1>"20,40,100,200"</formula1>
    </dataValidation>
    <dataValidation type="list" showInputMessage="1" showErrorMessage="1" promptTitle="SCR gate pulse duration" sqref="M32" xr:uid="{00000000-0002-0000-0100-000004000000}">
      <formula1>"500,1000,2000,3000,4000,5000,Auto"</formula1>
    </dataValidation>
    <dataValidation type="list" allowBlank="1" showInputMessage="1" showErrorMessage="1" sqref="M34" xr:uid="{00000000-0002-0000-0100-000005000000}">
      <formula1>D9:D28</formula1>
    </dataValidation>
    <dataValidation type="list" showInputMessage="1" showErrorMessage="1" sqref="M26" xr:uid="{00000000-0002-0000-0100-000006000000}">
      <formula1>"2,4 wasted spark,4 no wasted spark"</formula1>
    </dataValidation>
    <dataValidation type="list" showInputMessage="1" showErrorMessage="1" promptTitle="SCR gate pulse duration" sqref="M36" xr:uid="{8E02FBBF-94BB-4CCA-9283-9A7236F57F4A}">
      <formula1>"yes,no"</formula1>
    </dataValidation>
  </dataValidations>
  <pageMargins left="0.78740157499999996" right="0.78740157499999996" top="0.984251969" bottom="0.984251969" header="0" footer="0"/>
  <pageSetup paperSize="9" orientation="portrait" verticalDpi="300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200"/>
  <sheetViews>
    <sheetView showGridLines="0" zoomScaleNormal="100" workbookViewId="0"/>
  </sheetViews>
  <sheetFormatPr baseColWidth="10" defaultRowHeight="12.75"/>
  <cols>
    <col min="1" max="1" width="3.85546875" customWidth="1"/>
    <col min="2" max="2" width="11.42578125" customWidth="1"/>
    <col min="3" max="3" width="12.5703125" customWidth="1"/>
    <col min="4" max="4" width="13.140625" customWidth="1"/>
    <col min="5" max="5" width="12.140625" bestFit="1" customWidth="1"/>
    <col min="6" max="6" width="10.5703125" bestFit="1" customWidth="1"/>
    <col min="7" max="7" width="12.140625" customWidth="1"/>
    <col min="8" max="8" width="10.5703125" bestFit="1" customWidth="1"/>
    <col min="9" max="9" width="9.85546875" bestFit="1" customWidth="1"/>
    <col min="10" max="10" width="13.5703125" bestFit="1" customWidth="1"/>
    <col min="11" max="11" width="10.5703125" customWidth="1"/>
    <col min="12" max="12" width="10.28515625" bestFit="1" customWidth="1"/>
    <col min="13" max="13" width="11.140625" bestFit="1" customWidth="1"/>
    <col min="14" max="14" width="5" customWidth="1"/>
    <col min="15" max="15" width="9.85546875" bestFit="1" customWidth="1"/>
    <col min="16" max="16" width="12.42578125" bestFit="1" customWidth="1"/>
    <col min="17" max="17" width="6.7109375" customWidth="1"/>
    <col min="18" max="18" width="8.5703125" customWidth="1"/>
    <col min="19" max="19" width="8" customWidth="1"/>
    <col min="20" max="21" width="7.7109375" bestFit="1" customWidth="1"/>
  </cols>
  <sheetData>
    <row r="1" spans="1:24" ht="19.5" customHeight="1">
      <c r="A1" s="106"/>
      <c r="G1" s="247" t="s">
        <v>103</v>
      </c>
      <c r="H1" s="247"/>
      <c r="I1" s="98">
        <v>4.4000000000000004</v>
      </c>
      <c r="J1" s="98" t="s">
        <v>78</v>
      </c>
    </row>
    <row r="2" spans="1:24" ht="15.75">
      <c r="B2" s="195" t="s">
        <v>22</v>
      </c>
      <c r="C2" s="196"/>
      <c r="D2" s="197" t="str">
        <f>CONCATENATE("from ",X7," to")</f>
        <v>from 960 to</v>
      </c>
      <c r="E2" s="198" t="str">
        <f>CONCATENATE(ROUNDDOWN(Advance_curve!D103,0)," RPM")</f>
        <v>1116 RPM</v>
      </c>
      <c r="H2" s="121" t="s">
        <v>95</v>
      </c>
      <c r="I2" s="100">
        <v>15</v>
      </c>
      <c r="J2" s="44"/>
      <c r="O2" s="85">
        <f>Advance_curve!$F$5</f>
        <v>50</v>
      </c>
      <c r="P2" s="105" t="s">
        <v>96</v>
      </c>
    </row>
    <row r="3" spans="1:24">
      <c r="C3" s="1"/>
      <c r="D3" s="1"/>
      <c r="H3" s="99"/>
      <c r="I3" s="98"/>
      <c r="J3" s="98"/>
      <c r="O3" s="85">
        <f>Advance_curve!$B9</f>
        <v>11</v>
      </c>
      <c r="P3" s="105" t="s">
        <v>97</v>
      </c>
    </row>
    <row r="4" spans="1:24">
      <c r="H4" s="124" t="s">
        <v>14</v>
      </c>
      <c r="I4" s="98">
        <f>Advance_curve!M30</f>
        <v>2</v>
      </c>
      <c r="U4">
        <f>IF(Q8&lt;255,"=(360000/P8)*T8",0)</f>
        <v>0</v>
      </c>
    </row>
    <row r="5" spans="1:24">
      <c r="H5" s="124" t="s">
        <v>141</v>
      </c>
      <c r="I5" s="98">
        <f>Advance_curve!M24</f>
        <v>1</v>
      </c>
    </row>
    <row r="6" spans="1:24">
      <c r="H6" s="124" t="s">
        <v>142</v>
      </c>
      <c r="I6" s="98">
        <f>Advance_curve!M25</f>
        <v>4</v>
      </c>
      <c r="M6" s="79"/>
      <c r="N6" s="113" t="s">
        <v>18</v>
      </c>
      <c r="O6" s="79" t="s">
        <v>2</v>
      </c>
      <c r="P6" s="79" t="s">
        <v>19</v>
      </c>
      <c r="Q6" s="79" t="s">
        <v>101</v>
      </c>
      <c r="R6" s="79" t="s">
        <v>12</v>
      </c>
      <c r="S6" s="79" t="s">
        <v>79</v>
      </c>
      <c r="T6" s="79" t="s">
        <v>15</v>
      </c>
      <c r="U6" s="79" t="s">
        <v>15</v>
      </c>
      <c r="V6" s="79"/>
      <c r="X6" s="79" t="s">
        <v>235</v>
      </c>
    </row>
    <row r="7" spans="1:24">
      <c r="H7" s="199" t="s">
        <v>252</v>
      </c>
      <c r="I7" s="199" t="str">
        <f>IF(Advance_curve!M30=1,"336",IF(Advance_curve!M30=2,"168",IF(Advance_curve!M30=4,"84",IF(Advance_curve!M30=8,"42","False"))))</f>
        <v>168</v>
      </c>
      <c r="N7" s="113" t="s">
        <v>9</v>
      </c>
      <c r="O7" s="79"/>
      <c r="P7" s="79" t="s">
        <v>20</v>
      </c>
      <c r="Q7" s="79"/>
      <c r="R7" s="79" t="s">
        <v>20</v>
      </c>
      <c r="S7" s="79" t="s">
        <v>78</v>
      </c>
      <c r="T7" s="79" t="s">
        <v>21</v>
      </c>
      <c r="U7" s="79" t="s">
        <v>21</v>
      </c>
      <c r="X7" s="194">
        <f>MIN(X8:X49)</f>
        <v>960</v>
      </c>
    </row>
    <row r="8" spans="1:24">
      <c r="M8" s="19"/>
      <c r="N8" s="19">
        <v>1</v>
      </c>
      <c r="O8" s="19">
        <f t="shared" ref="O8:O25" si="0">IF(N8="End"," ",(N8*60*$I$6)/(2*$I$5))</f>
        <v>120</v>
      </c>
      <c r="P8" s="20">
        <f>1000000/N8</f>
        <v>1000000</v>
      </c>
      <c r="Q8" s="20">
        <f t="shared" ref="Q8:Q25" si="1">IF(N8="End"," ",INT(P8/($I$4*255)))</f>
        <v>1960</v>
      </c>
      <c r="R8" s="20">
        <f xml:space="preserve"> ($I$1 *$Q8*$I$2)</f>
        <v>129360</v>
      </c>
      <c r="S8" s="21">
        <f>P8/360</f>
        <v>2777.7777777777778</v>
      </c>
      <c r="T8" s="22">
        <f>R8/S8</f>
        <v>46.569600000000001</v>
      </c>
      <c r="U8" s="227" t="str">
        <f>IF($Q8&lt;255,Advance_curve!$F$5-T8,"0")</f>
        <v>0</v>
      </c>
      <c r="V8" s="228" t="str">
        <f>IF($Q8&lt;255," ","TMR1h&gt;255")</f>
        <v>TMR1h&gt;255</v>
      </c>
      <c r="X8" s="194" t="str">
        <f t="shared" ref="X8:X13" si="2">IF($Q8&lt;255,O8," ")</f>
        <v xml:space="preserve"> </v>
      </c>
    </row>
    <row r="9" spans="1:24">
      <c r="N9" s="19">
        <f>IF(N8&lt;Advance_curve!$C$103,N8+1,"End")</f>
        <v>2</v>
      </c>
      <c r="O9" s="19">
        <f t="shared" si="0"/>
        <v>240</v>
      </c>
      <c r="P9" s="20">
        <f t="shared" ref="P9:P26" si="3">1000000/N9</f>
        <v>500000</v>
      </c>
      <c r="Q9" s="20">
        <f t="shared" si="1"/>
        <v>980</v>
      </c>
      <c r="R9" s="20">
        <f t="shared" ref="R9:R49" si="4" xml:space="preserve"> ($I$1 *$Q9*$I$2)</f>
        <v>64680</v>
      </c>
      <c r="S9" s="164">
        <f t="shared" ref="S9:S49" si="5">P9/360</f>
        <v>1388.8888888888889</v>
      </c>
      <c r="T9" s="165">
        <f t="shared" ref="T9:T49" si="6">R9/S9</f>
        <v>46.569600000000001</v>
      </c>
      <c r="U9" s="227" t="str">
        <f>IF($Q9&lt;255,Advance_curve!$F$5-T9,"0")</f>
        <v>0</v>
      </c>
      <c r="V9" s="228" t="str">
        <f t="shared" ref="V9:V49" si="7">IF($Q9&lt;255," ","TMR1h&gt;255")</f>
        <v>TMR1h&gt;255</v>
      </c>
      <c r="X9" s="194" t="str">
        <f t="shared" si="2"/>
        <v xml:space="preserve"> </v>
      </c>
    </row>
    <row r="10" spans="1:24">
      <c r="M10" s="1"/>
      <c r="N10" s="19">
        <f>IF(N9&lt;Advance_curve!$C$103,N9+1,"End")</f>
        <v>3</v>
      </c>
      <c r="O10" s="19">
        <f t="shared" si="0"/>
        <v>360</v>
      </c>
      <c r="P10" s="20">
        <f t="shared" si="3"/>
        <v>333333.33333333331</v>
      </c>
      <c r="Q10" s="20">
        <f t="shared" si="1"/>
        <v>653</v>
      </c>
      <c r="R10" s="20">
        <f t="shared" si="4"/>
        <v>43098.000000000007</v>
      </c>
      <c r="S10" s="164">
        <f t="shared" si="5"/>
        <v>925.92592592592587</v>
      </c>
      <c r="T10" s="165">
        <f t="shared" si="6"/>
        <v>46.545840000000013</v>
      </c>
      <c r="U10" s="227" t="str">
        <f>IF($Q10&lt;255,Advance_curve!$F$5-T10,"0")</f>
        <v>0</v>
      </c>
      <c r="V10" s="228" t="str">
        <f t="shared" si="7"/>
        <v>TMR1h&gt;255</v>
      </c>
      <c r="X10" s="194" t="str">
        <f t="shared" si="2"/>
        <v xml:space="preserve"> </v>
      </c>
    </row>
    <row r="11" spans="1:24">
      <c r="M11" s="1"/>
      <c r="N11" s="19">
        <f>IF(N10&lt;Advance_curve!$C$103,N10+1,"End")</f>
        <v>4</v>
      </c>
      <c r="O11" s="19">
        <f t="shared" si="0"/>
        <v>480</v>
      </c>
      <c r="P11" s="20">
        <f t="shared" si="3"/>
        <v>250000</v>
      </c>
      <c r="Q11" s="20">
        <f t="shared" si="1"/>
        <v>490</v>
      </c>
      <c r="R11" s="20">
        <f t="shared" si="4"/>
        <v>32340</v>
      </c>
      <c r="S11" s="164">
        <f t="shared" si="5"/>
        <v>694.44444444444446</v>
      </c>
      <c r="T11" s="165">
        <f t="shared" si="6"/>
        <v>46.569600000000001</v>
      </c>
      <c r="U11" s="227" t="str">
        <f>IF($Q11&lt;255,Advance_curve!$F$5-T11,"0")</f>
        <v>0</v>
      </c>
      <c r="V11" s="228" t="str">
        <f t="shared" si="7"/>
        <v>TMR1h&gt;255</v>
      </c>
      <c r="X11" s="194" t="str">
        <f t="shared" si="2"/>
        <v xml:space="preserve"> </v>
      </c>
    </row>
    <row r="12" spans="1:24">
      <c r="N12" s="19">
        <f>IF(N11&lt;Advance_curve!$C$103,N11+1,"End")</f>
        <v>5</v>
      </c>
      <c r="O12" s="19">
        <f t="shared" si="0"/>
        <v>600</v>
      </c>
      <c r="P12" s="20">
        <f t="shared" si="3"/>
        <v>200000</v>
      </c>
      <c r="Q12" s="20">
        <f t="shared" si="1"/>
        <v>392</v>
      </c>
      <c r="R12" s="20">
        <f t="shared" si="4"/>
        <v>25872.000000000004</v>
      </c>
      <c r="S12" s="164">
        <f t="shared" si="5"/>
        <v>555.55555555555554</v>
      </c>
      <c r="T12" s="165">
        <f t="shared" si="6"/>
        <v>46.569600000000008</v>
      </c>
      <c r="U12" s="227" t="str">
        <f>IF($Q12&lt;255,Advance_curve!$F$5-T12,"0")</f>
        <v>0</v>
      </c>
      <c r="V12" s="228" t="str">
        <f t="shared" si="7"/>
        <v>TMR1h&gt;255</v>
      </c>
      <c r="X12" s="194" t="str">
        <f t="shared" si="2"/>
        <v xml:space="preserve"> </v>
      </c>
    </row>
    <row r="13" spans="1:24">
      <c r="M13" s="1"/>
      <c r="N13" s="19">
        <f>IF(N12&lt;Advance_curve!$C$103,N12+1,"End")</f>
        <v>6</v>
      </c>
      <c r="O13" s="19">
        <f t="shared" si="0"/>
        <v>720</v>
      </c>
      <c r="P13" s="20">
        <f t="shared" si="3"/>
        <v>166666.66666666666</v>
      </c>
      <c r="Q13" s="20">
        <f t="shared" si="1"/>
        <v>326</v>
      </c>
      <c r="R13" s="20">
        <f t="shared" si="4"/>
        <v>21516</v>
      </c>
      <c r="S13" s="164">
        <f t="shared" si="5"/>
        <v>462.96296296296293</v>
      </c>
      <c r="T13" s="165">
        <f t="shared" si="6"/>
        <v>46.474560000000004</v>
      </c>
      <c r="U13" s="227" t="str">
        <f>IF($Q13&lt;255,Advance_curve!$F$5-T13,"0")</f>
        <v>0</v>
      </c>
      <c r="V13" s="228" t="str">
        <f t="shared" si="7"/>
        <v>TMR1h&gt;255</v>
      </c>
      <c r="X13" s="194" t="str">
        <f t="shared" si="2"/>
        <v xml:space="preserve"> </v>
      </c>
    </row>
    <row r="14" spans="1:24">
      <c r="M14" s="1"/>
      <c r="N14" s="19">
        <f>IF(N13&lt;Advance_curve!$C$103,N13+1,"End")</f>
        <v>7</v>
      </c>
      <c r="O14" s="19">
        <f t="shared" si="0"/>
        <v>840</v>
      </c>
      <c r="P14" s="20">
        <f t="shared" si="3"/>
        <v>142857.14285714287</v>
      </c>
      <c r="Q14" s="20">
        <f t="shared" si="1"/>
        <v>280</v>
      </c>
      <c r="R14" s="20">
        <f t="shared" si="4"/>
        <v>18480</v>
      </c>
      <c r="S14" s="164">
        <f t="shared" si="5"/>
        <v>396.82539682539687</v>
      </c>
      <c r="T14" s="165">
        <f t="shared" si="6"/>
        <v>46.569599999999994</v>
      </c>
      <c r="U14" s="227" t="str">
        <f>IF($Q14&lt;255,Advance_curve!$F$5-T14,"0")</f>
        <v>0</v>
      </c>
      <c r="V14" s="228" t="str">
        <f t="shared" si="7"/>
        <v>TMR1h&gt;255</v>
      </c>
      <c r="X14" s="194" t="str">
        <f>IF($Q14&lt;255,O14," ")</f>
        <v xml:space="preserve"> </v>
      </c>
    </row>
    <row r="15" spans="1:24">
      <c r="M15" s="1"/>
      <c r="N15" s="19">
        <f>IF(N14&lt;Advance_curve!$C$103,N14+1,"End")</f>
        <v>8</v>
      </c>
      <c r="O15" s="19">
        <f t="shared" si="0"/>
        <v>960</v>
      </c>
      <c r="P15" s="20">
        <f t="shared" si="3"/>
        <v>125000</v>
      </c>
      <c r="Q15" s="20">
        <f t="shared" si="1"/>
        <v>245</v>
      </c>
      <c r="R15" s="20">
        <f t="shared" si="4"/>
        <v>16170</v>
      </c>
      <c r="S15" s="164">
        <f t="shared" si="5"/>
        <v>347.22222222222223</v>
      </c>
      <c r="T15" s="165">
        <f t="shared" si="6"/>
        <v>46.569600000000001</v>
      </c>
      <c r="U15" s="227">
        <f>IF($Q15&lt;255,Advance_curve!$F$5-T15,"0")</f>
        <v>3.4303999999999988</v>
      </c>
      <c r="V15" s="228" t="str">
        <f t="shared" si="7"/>
        <v xml:space="preserve"> </v>
      </c>
      <c r="X15" s="194">
        <f t="shared" ref="X15:X49" si="8">IF($Q15&lt;255,O15," ")</f>
        <v>960</v>
      </c>
    </row>
    <row r="16" spans="1:24">
      <c r="J16" s="10"/>
      <c r="M16" s="1"/>
      <c r="N16" s="19">
        <f>IF(N15&lt;Advance_curve!$C$103,N15+1,"End")</f>
        <v>9</v>
      </c>
      <c r="O16" s="19">
        <f t="shared" si="0"/>
        <v>1080</v>
      </c>
      <c r="P16" s="20">
        <f t="shared" si="3"/>
        <v>111111.11111111111</v>
      </c>
      <c r="Q16" s="20">
        <f t="shared" si="1"/>
        <v>217</v>
      </c>
      <c r="R16" s="20">
        <f t="shared" si="4"/>
        <v>14322.000000000002</v>
      </c>
      <c r="S16" s="164">
        <f t="shared" si="5"/>
        <v>308.64197530864197</v>
      </c>
      <c r="T16" s="165">
        <f t="shared" si="6"/>
        <v>46.403280000000009</v>
      </c>
      <c r="U16" s="227">
        <f>IF($Q16&lt;255,Advance_curve!$F$5-T16,"0")</f>
        <v>3.5967199999999906</v>
      </c>
      <c r="V16" s="228" t="str">
        <f t="shared" si="7"/>
        <v xml:space="preserve"> </v>
      </c>
      <c r="X16" s="194">
        <f t="shared" si="8"/>
        <v>1080</v>
      </c>
    </row>
    <row r="17" spans="10:24">
      <c r="J17" s="10"/>
      <c r="L17" s="104" t="s">
        <v>92</v>
      </c>
      <c r="M17" s="1"/>
      <c r="N17" s="19">
        <f>IF(N16&lt;Advance_curve!$C$103,N16+1,"End")</f>
        <v>10</v>
      </c>
      <c r="O17" s="19">
        <f t="shared" si="0"/>
        <v>1200</v>
      </c>
      <c r="P17" s="20">
        <f t="shared" si="3"/>
        <v>100000</v>
      </c>
      <c r="Q17" s="20">
        <f t="shared" si="1"/>
        <v>196</v>
      </c>
      <c r="R17" s="20">
        <f t="shared" si="4"/>
        <v>12936.000000000002</v>
      </c>
      <c r="S17" s="164">
        <f t="shared" si="5"/>
        <v>277.77777777777777</v>
      </c>
      <c r="T17" s="165">
        <f t="shared" si="6"/>
        <v>46.569600000000008</v>
      </c>
      <c r="U17" s="227">
        <f>IF($Q17&lt;255,Advance_curve!$F$5-T17,"0")</f>
        <v>3.4303999999999917</v>
      </c>
      <c r="V17" s="228" t="str">
        <f t="shared" si="7"/>
        <v xml:space="preserve"> </v>
      </c>
      <c r="X17" s="194">
        <f t="shared" si="8"/>
        <v>1200</v>
      </c>
    </row>
    <row r="18" spans="10:24">
      <c r="M18" s="1"/>
      <c r="N18" s="19" t="str">
        <f>IF(N17&lt;Advance_curve!$C$103,N17+1,"End")</f>
        <v>End</v>
      </c>
      <c r="O18" s="19" t="str">
        <f t="shared" si="0"/>
        <v xml:space="preserve"> </v>
      </c>
      <c r="P18" s="20" t="e">
        <f t="shared" si="3"/>
        <v>#VALUE!</v>
      </c>
      <c r="Q18" s="20" t="str">
        <f t="shared" si="1"/>
        <v xml:space="preserve"> </v>
      </c>
      <c r="R18" s="20" t="e">
        <f t="shared" si="4"/>
        <v>#VALUE!</v>
      </c>
      <c r="S18" s="164" t="e">
        <f t="shared" si="5"/>
        <v>#VALUE!</v>
      </c>
      <c r="T18" s="165" t="e">
        <f t="shared" si="6"/>
        <v>#VALUE!</v>
      </c>
      <c r="U18" s="227" t="str">
        <f>IF($Q18&lt;255,Advance_curve!$F$5-T18,"0")</f>
        <v>0</v>
      </c>
      <c r="V18" s="228" t="str">
        <f t="shared" si="7"/>
        <v>TMR1h&gt;255</v>
      </c>
      <c r="X18" s="194" t="str">
        <f t="shared" si="8"/>
        <v xml:space="preserve"> </v>
      </c>
    </row>
    <row r="19" spans="10:24">
      <c r="M19" s="1"/>
      <c r="N19" s="19" t="str">
        <f>IF(N18&lt;Advance_curve!$C$103,N18+1,"End")</f>
        <v>End</v>
      </c>
      <c r="O19" s="19" t="str">
        <f t="shared" si="0"/>
        <v xml:space="preserve"> </v>
      </c>
      <c r="P19" s="20" t="e">
        <f t="shared" si="3"/>
        <v>#VALUE!</v>
      </c>
      <c r="Q19" s="20" t="str">
        <f t="shared" si="1"/>
        <v xml:space="preserve"> </v>
      </c>
      <c r="R19" s="20" t="e">
        <f t="shared" si="4"/>
        <v>#VALUE!</v>
      </c>
      <c r="S19" s="164" t="e">
        <f t="shared" si="5"/>
        <v>#VALUE!</v>
      </c>
      <c r="T19" s="165" t="e">
        <f t="shared" si="6"/>
        <v>#VALUE!</v>
      </c>
      <c r="U19" s="227" t="str">
        <f>IF($Q19&lt;255,Advance_curve!$F$5-T19,"0")</f>
        <v>0</v>
      </c>
      <c r="V19" s="228" t="str">
        <f t="shared" si="7"/>
        <v>TMR1h&gt;255</v>
      </c>
      <c r="X19" s="194" t="str">
        <f t="shared" si="8"/>
        <v xml:space="preserve"> </v>
      </c>
    </row>
    <row r="20" spans="10:24">
      <c r="M20" s="1"/>
      <c r="N20" s="19" t="str">
        <f>IF(N19&lt;Advance_curve!$C$103,N19+1,"End")</f>
        <v>End</v>
      </c>
      <c r="O20" s="19" t="str">
        <f t="shared" si="0"/>
        <v xml:space="preserve"> </v>
      </c>
      <c r="P20" s="20" t="e">
        <f t="shared" si="3"/>
        <v>#VALUE!</v>
      </c>
      <c r="Q20" s="20" t="str">
        <f t="shared" si="1"/>
        <v xml:space="preserve"> </v>
      </c>
      <c r="R20" s="20" t="e">
        <f t="shared" si="4"/>
        <v>#VALUE!</v>
      </c>
      <c r="S20" s="164" t="e">
        <f t="shared" si="5"/>
        <v>#VALUE!</v>
      </c>
      <c r="T20" s="165" t="e">
        <f t="shared" si="6"/>
        <v>#VALUE!</v>
      </c>
      <c r="U20" s="227" t="str">
        <f>IF($Q20&lt;255,Advance_curve!$F$5-T20,"0")</f>
        <v>0</v>
      </c>
      <c r="V20" s="228" t="str">
        <f t="shared" si="7"/>
        <v>TMR1h&gt;255</v>
      </c>
      <c r="X20" s="194" t="str">
        <f t="shared" si="8"/>
        <v xml:space="preserve"> </v>
      </c>
    </row>
    <row r="21" spans="10:24">
      <c r="L21" s="132" t="s">
        <v>98</v>
      </c>
      <c r="M21" s="1"/>
      <c r="N21" s="19" t="str">
        <f>IF(N20&lt;Advance_curve!$C$103,N20+1,"End")</f>
        <v>End</v>
      </c>
      <c r="O21" s="19" t="str">
        <f t="shared" si="0"/>
        <v xml:space="preserve"> </v>
      </c>
      <c r="P21" s="20" t="e">
        <f t="shared" si="3"/>
        <v>#VALUE!</v>
      </c>
      <c r="Q21" s="20" t="str">
        <f t="shared" si="1"/>
        <v xml:space="preserve"> </v>
      </c>
      <c r="R21" s="20" t="e">
        <f t="shared" si="4"/>
        <v>#VALUE!</v>
      </c>
      <c r="S21" s="164" t="e">
        <f t="shared" si="5"/>
        <v>#VALUE!</v>
      </c>
      <c r="T21" s="165" t="e">
        <f t="shared" si="6"/>
        <v>#VALUE!</v>
      </c>
      <c r="U21" s="227" t="str">
        <f>IF($Q21&lt;255,Advance_curve!$F$5-T21,"0")</f>
        <v>0</v>
      </c>
      <c r="V21" s="228" t="str">
        <f t="shared" si="7"/>
        <v>TMR1h&gt;255</v>
      </c>
      <c r="X21" s="194" t="str">
        <f t="shared" si="8"/>
        <v xml:space="preserve"> </v>
      </c>
    </row>
    <row r="22" spans="10:24">
      <c r="M22" s="1"/>
      <c r="N22" s="19" t="str">
        <f>IF(N21&lt;Advance_curve!$C$103,N21+1,"End")</f>
        <v>End</v>
      </c>
      <c r="O22" s="19" t="str">
        <f t="shared" si="0"/>
        <v xml:space="preserve"> </v>
      </c>
      <c r="P22" s="20" t="e">
        <f t="shared" si="3"/>
        <v>#VALUE!</v>
      </c>
      <c r="Q22" s="20" t="str">
        <f t="shared" si="1"/>
        <v xml:space="preserve"> </v>
      </c>
      <c r="R22" s="20" t="e">
        <f t="shared" si="4"/>
        <v>#VALUE!</v>
      </c>
      <c r="S22" s="164" t="e">
        <f t="shared" si="5"/>
        <v>#VALUE!</v>
      </c>
      <c r="T22" s="165" t="e">
        <f t="shared" si="6"/>
        <v>#VALUE!</v>
      </c>
      <c r="U22" s="227" t="str">
        <f>IF($Q22&lt;255,Advance_curve!$F$5-T22,"0")</f>
        <v>0</v>
      </c>
      <c r="V22" s="228" t="str">
        <f t="shared" si="7"/>
        <v>TMR1h&gt;255</v>
      </c>
      <c r="X22" s="194" t="str">
        <f t="shared" si="8"/>
        <v xml:space="preserve"> </v>
      </c>
    </row>
    <row r="23" spans="10:24">
      <c r="M23" s="1"/>
      <c r="N23" s="19" t="str">
        <f>IF(N22&lt;Advance_curve!$C$103,N22+1,"End")</f>
        <v>End</v>
      </c>
      <c r="O23" s="19" t="str">
        <f t="shared" si="0"/>
        <v xml:space="preserve"> </v>
      </c>
      <c r="P23" s="20" t="e">
        <f t="shared" si="3"/>
        <v>#VALUE!</v>
      </c>
      <c r="Q23" s="20" t="str">
        <f t="shared" si="1"/>
        <v xml:space="preserve"> </v>
      </c>
      <c r="R23" s="20" t="e">
        <f t="shared" si="4"/>
        <v>#VALUE!</v>
      </c>
      <c r="S23" s="164" t="e">
        <f t="shared" si="5"/>
        <v>#VALUE!</v>
      </c>
      <c r="T23" s="165" t="e">
        <f t="shared" si="6"/>
        <v>#VALUE!</v>
      </c>
      <c r="U23" s="227" t="str">
        <f>IF($Q23&lt;255,Advance_curve!$F$5-T23,"0")</f>
        <v>0</v>
      </c>
      <c r="V23" s="228" t="str">
        <f t="shared" si="7"/>
        <v>TMR1h&gt;255</v>
      </c>
      <c r="X23" s="194" t="str">
        <f t="shared" si="8"/>
        <v xml:space="preserve"> </v>
      </c>
    </row>
    <row r="24" spans="10:24">
      <c r="M24" s="1"/>
      <c r="N24" s="19" t="str">
        <f>IF(N23&lt;Advance_curve!$C$103,N23+1,"End")</f>
        <v>End</v>
      </c>
      <c r="O24" s="19" t="str">
        <f t="shared" si="0"/>
        <v xml:space="preserve"> </v>
      </c>
      <c r="P24" s="20" t="e">
        <f t="shared" si="3"/>
        <v>#VALUE!</v>
      </c>
      <c r="Q24" s="20" t="str">
        <f t="shared" si="1"/>
        <v xml:space="preserve"> </v>
      </c>
      <c r="R24" s="20" t="e">
        <f t="shared" si="4"/>
        <v>#VALUE!</v>
      </c>
      <c r="S24" s="164" t="e">
        <f t="shared" si="5"/>
        <v>#VALUE!</v>
      </c>
      <c r="T24" s="165" t="e">
        <f t="shared" si="6"/>
        <v>#VALUE!</v>
      </c>
      <c r="U24" s="227" t="str">
        <f>IF($Q24&lt;255,Advance_curve!$F$5-T24,"0")</f>
        <v>0</v>
      </c>
      <c r="V24" s="228" t="str">
        <f t="shared" si="7"/>
        <v>TMR1h&gt;255</v>
      </c>
      <c r="X24" s="194" t="str">
        <f t="shared" si="8"/>
        <v xml:space="preserve"> </v>
      </c>
    </row>
    <row r="25" spans="10:24">
      <c r="L25" s="104" t="s">
        <v>93</v>
      </c>
      <c r="M25" s="1"/>
      <c r="N25" s="19" t="str">
        <f>IF(N24&lt;Advance_curve!$C$103,N24+1,"End")</f>
        <v>End</v>
      </c>
      <c r="O25" s="19" t="str">
        <f t="shared" si="0"/>
        <v xml:space="preserve"> </v>
      </c>
      <c r="P25" s="20" t="e">
        <f t="shared" si="3"/>
        <v>#VALUE!</v>
      </c>
      <c r="Q25" s="20" t="str">
        <f t="shared" si="1"/>
        <v xml:space="preserve"> </v>
      </c>
      <c r="R25" s="20" t="e">
        <f t="shared" si="4"/>
        <v>#VALUE!</v>
      </c>
      <c r="S25" s="164" t="e">
        <f t="shared" si="5"/>
        <v>#VALUE!</v>
      </c>
      <c r="T25" s="165" t="e">
        <f t="shared" si="6"/>
        <v>#VALUE!</v>
      </c>
      <c r="U25" s="227" t="str">
        <f>IF($Q25&lt;255,Advance_curve!$F$5-T25,"0")</f>
        <v>0</v>
      </c>
      <c r="V25" s="228" t="str">
        <f t="shared" si="7"/>
        <v>TMR1h&gt;255</v>
      </c>
      <c r="X25" s="194" t="str">
        <f t="shared" si="8"/>
        <v xml:space="preserve"> </v>
      </c>
    </row>
    <row r="26" spans="10:24">
      <c r="M26" s="1"/>
      <c r="N26" s="19" t="str">
        <f>IF(N25&lt;Advance_curve!$C$103,N25+1,"End")</f>
        <v>End</v>
      </c>
      <c r="O26" s="19" t="str">
        <f>IF(N26="End"," ",(N26*60*$I$6)/(2*$I$5))</f>
        <v xml:space="preserve"> </v>
      </c>
      <c r="P26" s="20" t="e">
        <f t="shared" si="3"/>
        <v>#VALUE!</v>
      </c>
      <c r="Q26" s="20" t="str">
        <f>IF(N26="End"," ",INT(P26/($I$4*255)))</f>
        <v xml:space="preserve"> </v>
      </c>
      <c r="R26" s="20" t="e">
        <f t="shared" si="4"/>
        <v>#VALUE!</v>
      </c>
      <c r="S26" s="164" t="e">
        <f t="shared" si="5"/>
        <v>#VALUE!</v>
      </c>
      <c r="T26" s="165" t="e">
        <f t="shared" si="6"/>
        <v>#VALUE!</v>
      </c>
      <c r="U26" s="227" t="str">
        <f>IF($Q26&lt;255,Advance_curve!$F$5-T26,"0")</f>
        <v>0</v>
      </c>
      <c r="V26" s="228" t="str">
        <f t="shared" si="7"/>
        <v>TMR1h&gt;255</v>
      </c>
      <c r="X26" s="194" t="str">
        <f t="shared" si="8"/>
        <v xml:space="preserve"> </v>
      </c>
    </row>
    <row r="27" spans="10:24">
      <c r="M27" s="1"/>
      <c r="N27" s="19" t="str">
        <f>IF(N26&lt;Advance_curve!$C$103,N26+1,"End")</f>
        <v>End</v>
      </c>
      <c r="O27" s="19" t="str">
        <f t="shared" ref="O27:O49" si="9">IF(N27="End"," ",(N27*60*$I$6)/(2*$I$5))</f>
        <v xml:space="preserve"> </v>
      </c>
      <c r="P27" s="20" t="e">
        <f>IF(N27&lt;&gt;"End",(1000000/N27),#N/A)</f>
        <v>#N/A</v>
      </c>
      <c r="Q27" s="20" t="str">
        <f>IF(N27="End"," ",INT(P27/($I$4*255)))</f>
        <v xml:space="preserve"> </v>
      </c>
      <c r="R27" s="20" t="e">
        <f t="shared" si="4"/>
        <v>#VALUE!</v>
      </c>
      <c r="S27" s="164" t="e">
        <f t="shared" si="5"/>
        <v>#N/A</v>
      </c>
      <c r="T27" s="165" t="e">
        <f t="shared" si="6"/>
        <v>#VALUE!</v>
      </c>
      <c r="U27" s="227" t="str">
        <f>IF($Q27&lt;255,Advance_curve!$F$5-T27,"0")</f>
        <v>0</v>
      </c>
      <c r="V27" s="228" t="str">
        <f t="shared" si="7"/>
        <v>TMR1h&gt;255</v>
      </c>
      <c r="X27" s="194" t="str">
        <f t="shared" si="8"/>
        <v xml:space="preserve"> </v>
      </c>
    </row>
    <row r="28" spans="10:24">
      <c r="M28" s="1"/>
      <c r="N28" s="19" t="str">
        <f>IF(N27&lt;Advance_curve!$C$103,N27+1,"End")</f>
        <v>End</v>
      </c>
      <c r="O28" s="19" t="str">
        <f t="shared" si="9"/>
        <v xml:space="preserve"> </v>
      </c>
      <c r="P28" s="20" t="e">
        <f t="shared" ref="P28:P49" si="10">IF(N28&lt;&gt;"End",(1000000/N28),#N/A)</f>
        <v>#N/A</v>
      </c>
      <c r="Q28" s="20" t="str">
        <f t="shared" ref="Q28:Q49" si="11">IF(N28="End"," ",INT(P28/($I$4*255)))</f>
        <v xml:space="preserve"> </v>
      </c>
      <c r="R28" s="20" t="e">
        <f t="shared" si="4"/>
        <v>#VALUE!</v>
      </c>
      <c r="S28" s="164" t="e">
        <f t="shared" si="5"/>
        <v>#N/A</v>
      </c>
      <c r="T28" s="165" t="e">
        <f t="shared" si="6"/>
        <v>#VALUE!</v>
      </c>
      <c r="U28" s="227" t="str">
        <f>IF($Q28&lt;255,Advance_curve!$F$5-T28,"0")</f>
        <v>0</v>
      </c>
      <c r="V28" s="228" t="str">
        <f t="shared" si="7"/>
        <v>TMR1h&gt;255</v>
      </c>
      <c r="X28" s="194" t="str">
        <f t="shared" si="8"/>
        <v xml:space="preserve"> </v>
      </c>
    </row>
    <row r="29" spans="10:24">
      <c r="M29" s="1"/>
      <c r="N29" s="19" t="str">
        <f>IF(N28&lt;Advance_curve!$C$103,N28+1,"End")</f>
        <v>End</v>
      </c>
      <c r="O29" s="19" t="str">
        <f t="shared" si="9"/>
        <v xml:space="preserve"> </v>
      </c>
      <c r="P29" s="20" t="e">
        <f t="shared" si="10"/>
        <v>#N/A</v>
      </c>
      <c r="Q29" s="20" t="str">
        <f t="shared" si="11"/>
        <v xml:space="preserve"> </v>
      </c>
      <c r="R29" s="20" t="e">
        <f t="shared" si="4"/>
        <v>#VALUE!</v>
      </c>
      <c r="S29" s="164" t="e">
        <f t="shared" si="5"/>
        <v>#N/A</v>
      </c>
      <c r="T29" s="165" t="e">
        <f t="shared" si="6"/>
        <v>#VALUE!</v>
      </c>
      <c r="U29" s="227" t="str">
        <f>IF($Q29&lt;255,Advance_curve!$F$5-T29,"0")</f>
        <v>0</v>
      </c>
      <c r="V29" s="228" t="str">
        <f t="shared" si="7"/>
        <v>TMR1h&gt;255</v>
      </c>
      <c r="X29" s="194" t="str">
        <f t="shared" si="8"/>
        <v xml:space="preserve"> </v>
      </c>
    </row>
    <row r="30" spans="10:24">
      <c r="M30" s="1"/>
      <c r="N30" s="19" t="str">
        <f>IF(N29&lt;Advance_curve!$C$103,N29+1,"End")</f>
        <v>End</v>
      </c>
      <c r="O30" s="19" t="str">
        <f t="shared" si="9"/>
        <v xml:space="preserve"> </v>
      </c>
      <c r="P30" s="20" t="e">
        <f t="shared" si="10"/>
        <v>#N/A</v>
      </c>
      <c r="Q30" s="20" t="str">
        <f t="shared" si="11"/>
        <v xml:space="preserve"> </v>
      </c>
      <c r="R30" s="20" t="e">
        <f t="shared" si="4"/>
        <v>#VALUE!</v>
      </c>
      <c r="S30" s="164" t="e">
        <f t="shared" si="5"/>
        <v>#N/A</v>
      </c>
      <c r="T30" s="165" t="e">
        <f t="shared" si="6"/>
        <v>#VALUE!</v>
      </c>
      <c r="U30" s="227" t="str">
        <f>IF($Q30&lt;255,Advance_curve!$F$5-T30,"0")</f>
        <v>0</v>
      </c>
      <c r="V30" s="228" t="str">
        <f t="shared" si="7"/>
        <v>TMR1h&gt;255</v>
      </c>
      <c r="X30" s="194" t="str">
        <f t="shared" si="8"/>
        <v xml:space="preserve"> </v>
      </c>
    </row>
    <row r="31" spans="10:24">
      <c r="M31" s="1"/>
      <c r="N31" s="19" t="str">
        <f>IF(N30&lt;Advance_curve!$C$103,N30+1,"End")</f>
        <v>End</v>
      </c>
      <c r="O31" s="19" t="str">
        <f t="shared" si="9"/>
        <v xml:space="preserve"> </v>
      </c>
      <c r="P31" s="20" t="e">
        <f t="shared" si="10"/>
        <v>#N/A</v>
      </c>
      <c r="Q31" s="20" t="str">
        <f t="shared" si="11"/>
        <v xml:space="preserve"> </v>
      </c>
      <c r="R31" s="20" t="e">
        <f t="shared" si="4"/>
        <v>#VALUE!</v>
      </c>
      <c r="S31" s="164" t="e">
        <f t="shared" si="5"/>
        <v>#N/A</v>
      </c>
      <c r="T31" s="165" t="e">
        <f t="shared" si="6"/>
        <v>#VALUE!</v>
      </c>
      <c r="U31" s="227" t="str">
        <f>IF($Q31&lt;255,Advance_curve!$F$5-T31,"0")</f>
        <v>0</v>
      </c>
      <c r="V31" s="228" t="str">
        <f t="shared" si="7"/>
        <v>TMR1h&gt;255</v>
      </c>
      <c r="X31" s="194" t="str">
        <f t="shared" si="8"/>
        <v xml:space="preserve"> </v>
      </c>
    </row>
    <row r="32" spans="10:24">
      <c r="M32" s="1"/>
      <c r="N32" s="19" t="str">
        <f>IF(N31&lt;Advance_curve!$C$103,N31+1,"End")</f>
        <v>End</v>
      </c>
      <c r="O32" s="19" t="str">
        <f t="shared" si="9"/>
        <v xml:space="preserve"> </v>
      </c>
      <c r="P32" s="20" t="e">
        <f t="shared" si="10"/>
        <v>#N/A</v>
      </c>
      <c r="Q32" s="20" t="str">
        <f t="shared" si="11"/>
        <v xml:space="preserve"> </v>
      </c>
      <c r="R32" s="20" t="e">
        <f t="shared" si="4"/>
        <v>#VALUE!</v>
      </c>
      <c r="S32" s="164" t="e">
        <f t="shared" si="5"/>
        <v>#N/A</v>
      </c>
      <c r="T32" s="165" t="e">
        <f t="shared" si="6"/>
        <v>#VALUE!</v>
      </c>
      <c r="U32" s="227" t="str">
        <f>IF($Q32&lt;255,Advance_curve!$F$5-T32,"0")</f>
        <v>0</v>
      </c>
      <c r="V32" s="228" t="str">
        <f t="shared" si="7"/>
        <v>TMR1h&gt;255</v>
      </c>
      <c r="X32" s="194" t="str">
        <f t="shared" si="8"/>
        <v xml:space="preserve"> </v>
      </c>
    </row>
    <row r="33" spans="1:24">
      <c r="A33" s="111"/>
      <c r="B33" s="44"/>
      <c r="C33" s="110"/>
      <c r="D33" s="110"/>
      <c r="F33" s="112"/>
      <c r="G33" s="112"/>
      <c r="N33" s="19" t="str">
        <f>IF(N32&lt;Advance_curve!$C$103,N32+1,"End")</f>
        <v>End</v>
      </c>
      <c r="O33" s="19" t="str">
        <f t="shared" si="9"/>
        <v xml:space="preserve"> </v>
      </c>
      <c r="P33" s="20" t="e">
        <f t="shared" si="10"/>
        <v>#N/A</v>
      </c>
      <c r="Q33" s="20" t="str">
        <f t="shared" si="11"/>
        <v xml:space="preserve"> </v>
      </c>
      <c r="R33" s="20" t="e">
        <f t="shared" si="4"/>
        <v>#VALUE!</v>
      </c>
      <c r="S33" s="164" t="e">
        <f t="shared" si="5"/>
        <v>#N/A</v>
      </c>
      <c r="T33" s="165" t="e">
        <f t="shared" si="6"/>
        <v>#VALUE!</v>
      </c>
      <c r="U33" s="227" t="str">
        <f>IF($Q33&lt;255,Advance_curve!$F$5-T33,"0")</f>
        <v>0</v>
      </c>
      <c r="V33" s="228" t="str">
        <f t="shared" si="7"/>
        <v>TMR1h&gt;255</v>
      </c>
      <c r="X33" s="194" t="str">
        <f t="shared" si="8"/>
        <v xml:space="preserve"> </v>
      </c>
    </row>
    <row r="34" spans="1:24">
      <c r="A34" s="111"/>
      <c r="B34" s="44"/>
      <c r="C34" s="105"/>
      <c r="D34" s="109"/>
      <c r="N34" s="19" t="str">
        <f>IF(N33&lt;Advance_curve!$C$103,N33+1,"End")</f>
        <v>End</v>
      </c>
      <c r="O34" s="19" t="str">
        <f t="shared" si="9"/>
        <v xml:space="preserve"> </v>
      </c>
      <c r="P34" s="20" t="e">
        <f t="shared" si="10"/>
        <v>#N/A</v>
      </c>
      <c r="Q34" s="20" t="str">
        <f t="shared" si="11"/>
        <v xml:space="preserve"> </v>
      </c>
      <c r="R34" s="20" t="e">
        <f t="shared" si="4"/>
        <v>#VALUE!</v>
      </c>
      <c r="S34" s="164" t="e">
        <f t="shared" si="5"/>
        <v>#N/A</v>
      </c>
      <c r="T34" s="165" t="e">
        <f t="shared" si="6"/>
        <v>#VALUE!</v>
      </c>
      <c r="U34" s="227" t="str">
        <f>IF($Q34&lt;255,Advance_curve!$F$5-T34,"0")</f>
        <v>0</v>
      </c>
      <c r="V34" s="228" t="str">
        <f t="shared" si="7"/>
        <v>TMR1h&gt;255</v>
      </c>
      <c r="X34" s="194" t="str">
        <f t="shared" si="8"/>
        <v xml:space="preserve"> </v>
      </c>
    </row>
    <row r="35" spans="1:24">
      <c r="A35" s="111"/>
      <c r="B35" s="44"/>
      <c r="C35" s="105"/>
      <c r="D35" s="109"/>
      <c r="N35" s="19" t="str">
        <f>IF(N34&lt;Advance_curve!$C$103,N34+1,"End")</f>
        <v>End</v>
      </c>
      <c r="O35" s="19" t="str">
        <f t="shared" si="9"/>
        <v xml:space="preserve"> </v>
      </c>
      <c r="P35" s="20" t="e">
        <f t="shared" si="10"/>
        <v>#N/A</v>
      </c>
      <c r="Q35" s="20" t="str">
        <f t="shared" si="11"/>
        <v xml:space="preserve"> </v>
      </c>
      <c r="R35" s="20" t="e">
        <f t="shared" si="4"/>
        <v>#VALUE!</v>
      </c>
      <c r="S35" s="164" t="e">
        <f t="shared" si="5"/>
        <v>#N/A</v>
      </c>
      <c r="T35" s="165" t="e">
        <f t="shared" si="6"/>
        <v>#VALUE!</v>
      </c>
      <c r="U35" s="227" t="str">
        <f>IF($Q35&lt;255,Advance_curve!$F$5-T35,"0")</f>
        <v>0</v>
      </c>
      <c r="V35" s="228" t="str">
        <f t="shared" si="7"/>
        <v>TMR1h&gt;255</v>
      </c>
      <c r="X35" s="194" t="str">
        <f t="shared" si="8"/>
        <v xml:space="preserve"> </v>
      </c>
    </row>
    <row r="36" spans="1:24">
      <c r="A36" s="111"/>
      <c r="C36" s="105"/>
      <c r="D36" s="109"/>
      <c r="N36" s="19" t="str">
        <f>IF(N35&lt;Advance_curve!$C$103,N35+1,"End")</f>
        <v>End</v>
      </c>
      <c r="O36" s="19" t="str">
        <f t="shared" si="9"/>
        <v xml:space="preserve"> </v>
      </c>
      <c r="P36" s="20" t="e">
        <f t="shared" si="10"/>
        <v>#N/A</v>
      </c>
      <c r="Q36" s="20" t="str">
        <f t="shared" si="11"/>
        <v xml:space="preserve"> </v>
      </c>
      <c r="R36" s="20" t="e">
        <f t="shared" si="4"/>
        <v>#VALUE!</v>
      </c>
      <c r="S36" s="164" t="e">
        <f t="shared" si="5"/>
        <v>#N/A</v>
      </c>
      <c r="T36" s="165" t="e">
        <f t="shared" si="6"/>
        <v>#VALUE!</v>
      </c>
      <c r="U36" s="227" t="str">
        <f>IF($Q36&lt;255,Advance_curve!$F$5-T36,"0")</f>
        <v>0</v>
      </c>
      <c r="V36" s="228" t="str">
        <f t="shared" si="7"/>
        <v>TMR1h&gt;255</v>
      </c>
      <c r="X36" s="194" t="str">
        <f t="shared" si="8"/>
        <v xml:space="preserve"> </v>
      </c>
    </row>
    <row r="37" spans="1:24">
      <c r="A37" s="80"/>
      <c r="C37" s="105"/>
      <c r="D37" s="109"/>
      <c r="N37" s="19" t="str">
        <f>IF(N36&lt;Advance_curve!$C$103,N36+1,"End")</f>
        <v>End</v>
      </c>
      <c r="O37" s="19" t="str">
        <f t="shared" si="9"/>
        <v xml:space="preserve"> </v>
      </c>
      <c r="P37" s="20" t="e">
        <f t="shared" si="10"/>
        <v>#N/A</v>
      </c>
      <c r="Q37" s="20" t="str">
        <f t="shared" si="11"/>
        <v xml:space="preserve"> </v>
      </c>
      <c r="R37" s="20" t="e">
        <f t="shared" si="4"/>
        <v>#VALUE!</v>
      </c>
      <c r="S37" s="164" t="e">
        <f t="shared" si="5"/>
        <v>#N/A</v>
      </c>
      <c r="T37" s="165" t="e">
        <f t="shared" si="6"/>
        <v>#VALUE!</v>
      </c>
      <c r="U37" s="227" t="str">
        <f>IF($Q37&lt;255,Advance_curve!$F$5-T37,"0")</f>
        <v>0</v>
      </c>
      <c r="V37" s="228" t="str">
        <f t="shared" si="7"/>
        <v>TMR1h&gt;255</v>
      </c>
      <c r="X37" s="194" t="str">
        <f t="shared" si="8"/>
        <v xml:space="preserve"> </v>
      </c>
    </row>
    <row r="38" spans="1:24">
      <c r="A38" s="80"/>
      <c r="C38" s="105"/>
      <c r="D38" s="109"/>
      <c r="N38" s="19" t="str">
        <f>IF(N37&lt;Advance_curve!$C$103,N37+1,"End")</f>
        <v>End</v>
      </c>
      <c r="O38" s="19" t="str">
        <f t="shared" si="9"/>
        <v xml:space="preserve"> </v>
      </c>
      <c r="P38" s="20" t="e">
        <f t="shared" si="10"/>
        <v>#N/A</v>
      </c>
      <c r="Q38" s="20" t="str">
        <f t="shared" si="11"/>
        <v xml:space="preserve"> </v>
      </c>
      <c r="R38" s="20" t="e">
        <f t="shared" si="4"/>
        <v>#VALUE!</v>
      </c>
      <c r="S38" s="164" t="e">
        <f t="shared" si="5"/>
        <v>#N/A</v>
      </c>
      <c r="T38" s="165" t="e">
        <f t="shared" si="6"/>
        <v>#VALUE!</v>
      </c>
      <c r="U38" s="227" t="str">
        <f>IF($Q38&lt;255,Advance_curve!$F$5-T38,"0")</f>
        <v>0</v>
      </c>
      <c r="V38" s="228" t="str">
        <f t="shared" si="7"/>
        <v>TMR1h&gt;255</v>
      </c>
      <c r="X38" s="194" t="str">
        <f t="shared" si="8"/>
        <v xml:space="preserve"> </v>
      </c>
    </row>
    <row r="39" spans="1:24">
      <c r="A39" s="80"/>
      <c r="C39" s="105"/>
      <c r="D39" s="109"/>
      <c r="N39" s="19" t="str">
        <f>IF(N38&lt;Advance_curve!$C$103,N38+1,"End")</f>
        <v>End</v>
      </c>
      <c r="O39" s="19" t="str">
        <f t="shared" si="9"/>
        <v xml:space="preserve"> </v>
      </c>
      <c r="P39" s="20" t="e">
        <f t="shared" si="10"/>
        <v>#N/A</v>
      </c>
      <c r="Q39" s="20" t="str">
        <f t="shared" si="11"/>
        <v xml:space="preserve"> </v>
      </c>
      <c r="R39" s="20" t="e">
        <f t="shared" si="4"/>
        <v>#VALUE!</v>
      </c>
      <c r="S39" s="164" t="e">
        <f t="shared" si="5"/>
        <v>#N/A</v>
      </c>
      <c r="T39" s="165" t="e">
        <f t="shared" si="6"/>
        <v>#VALUE!</v>
      </c>
      <c r="U39" s="227" t="str">
        <f>IF($Q39&lt;255,Advance_curve!$F$5-T39,"0")</f>
        <v>0</v>
      </c>
      <c r="V39" s="228" t="str">
        <f t="shared" si="7"/>
        <v>TMR1h&gt;255</v>
      </c>
      <c r="X39" s="194" t="str">
        <f t="shared" si="8"/>
        <v xml:space="preserve"> </v>
      </c>
    </row>
    <row r="40" spans="1:24">
      <c r="A40" s="80"/>
      <c r="C40" s="105"/>
      <c r="D40" s="109"/>
      <c r="N40" s="19" t="str">
        <f>IF(N39&lt;Advance_curve!$C$103,N39+1,"End")</f>
        <v>End</v>
      </c>
      <c r="O40" s="19" t="str">
        <f t="shared" si="9"/>
        <v xml:space="preserve"> </v>
      </c>
      <c r="P40" s="20" t="e">
        <f t="shared" si="10"/>
        <v>#N/A</v>
      </c>
      <c r="Q40" s="20" t="str">
        <f t="shared" si="11"/>
        <v xml:space="preserve"> </v>
      </c>
      <c r="R40" s="20" t="e">
        <f t="shared" si="4"/>
        <v>#VALUE!</v>
      </c>
      <c r="S40" s="164" t="e">
        <f t="shared" si="5"/>
        <v>#N/A</v>
      </c>
      <c r="T40" s="165" t="e">
        <f t="shared" si="6"/>
        <v>#VALUE!</v>
      </c>
      <c r="U40" s="227" t="str">
        <f>IF($Q40&lt;255,Advance_curve!$F$5-T40,"0")</f>
        <v>0</v>
      </c>
      <c r="V40" s="228" t="str">
        <f t="shared" si="7"/>
        <v>TMR1h&gt;255</v>
      </c>
      <c r="X40" s="194" t="str">
        <f t="shared" si="8"/>
        <v xml:space="preserve"> </v>
      </c>
    </row>
    <row r="41" spans="1:24">
      <c r="A41" s="80"/>
      <c r="C41" s="105"/>
      <c r="D41" s="109"/>
      <c r="N41" s="19" t="str">
        <f>IF(N40&lt;Advance_curve!$C$103,N40+1,"End")</f>
        <v>End</v>
      </c>
      <c r="O41" s="19" t="str">
        <f t="shared" si="9"/>
        <v xml:space="preserve"> </v>
      </c>
      <c r="P41" s="20" t="e">
        <f t="shared" si="10"/>
        <v>#N/A</v>
      </c>
      <c r="Q41" s="20" t="str">
        <f t="shared" si="11"/>
        <v xml:space="preserve"> </v>
      </c>
      <c r="R41" s="20" t="e">
        <f t="shared" si="4"/>
        <v>#VALUE!</v>
      </c>
      <c r="S41" s="164" t="e">
        <f t="shared" si="5"/>
        <v>#N/A</v>
      </c>
      <c r="T41" s="165" t="e">
        <f t="shared" si="6"/>
        <v>#VALUE!</v>
      </c>
      <c r="U41" s="227" t="str">
        <f>IF($Q41&lt;255,Advance_curve!$F$5-T41,"0")</f>
        <v>0</v>
      </c>
      <c r="V41" s="228" t="str">
        <f t="shared" si="7"/>
        <v>TMR1h&gt;255</v>
      </c>
      <c r="X41" s="194" t="str">
        <f t="shared" si="8"/>
        <v xml:space="preserve"> </v>
      </c>
    </row>
    <row r="42" spans="1:24">
      <c r="A42" s="80"/>
      <c r="C42" s="105"/>
      <c r="D42" s="109"/>
      <c r="N42" s="19" t="str">
        <f>IF(N41&lt;Advance_curve!$C$103,N41+1,"End")</f>
        <v>End</v>
      </c>
      <c r="O42" s="19" t="str">
        <f t="shared" si="9"/>
        <v xml:space="preserve"> </v>
      </c>
      <c r="P42" s="20" t="e">
        <f t="shared" si="10"/>
        <v>#N/A</v>
      </c>
      <c r="Q42" s="20" t="str">
        <f t="shared" si="11"/>
        <v xml:space="preserve"> </v>
      </c>
      <c r="R42" s="20" t="e">
        <f t="shared" si="4"/>
        <v>#VALUE!</v>
      </c>
      <c r="S42" s="164" t="e">
        <f t="shared" si="5"/>
        <v>#N/A</v>
      </c>
      <c r="T42" s="165" t="e">
        <f t="shared" si="6"/>
        <v>#VALUE!</v>
      </c>
      <c r="U42" s="227" t="str">
        <f>IF($Q42&lt;255,Advance_curve!$F$5-T42,"0")</f>
        <v>0</v>
      </c>
      <c r="V42" s="228" t="str">
        <f t="shared" si="7"/>
        <v>TMR1h&gt;255</v>
      </c>
      <c r="X42" s="194" t="str">
        <f t="shared" si="8"/>
        <v xml:space="preserve"> </v>
      </c>
    </row>
    <row r="43" spans="1:24">
      <c r="A43" s="19"/>
      <c r="C43" s="105"/>
      <c r="D43" s="109"/>
      <c r="N43" s="19" t="str">
        <f>IF(N42&lt;Advance_curve!$C$103,N42+1,"End")</f>
        <v>End</v>
      </c>
      <c r="O43" s="19" t="str">
        <f t="shared" si="9"/>
        <v xml:space="preserve"> </v>
      </c>
      <c r="P43" s="20" t="e">
        <f t="shared" si="10"/>
        <v>#N/A</v>
      </c>
      <c r="Q43" s="20" t="str">
        <f t="shared" si="11"/>
        <v xml:space="preserve"> </v>
      </c>
      <c r="R43" s="20" t="e">
        <f t="shared" si="4"/>
        <v>#VALUE!</v>
      </c>
      <c r="S43" s="164" t="e">
        <f t="shared" si="5"/>
        <v>#N/A</v>
      </c>
      <c r="T43" s="165" t="e">
        <f t="shared" si="6"/>
        <v>#VALUE!</v>
      </c>
      <c r="U43" s="227" t="str">
        <f>IF($Q43&lt;255,Advance_curve!$F$5-T43,"0")</f>
        <v>0</v>
      </c>
      <c r="V43" s="228" t="str">
        <f t="shared" si="7"/>
        <v>TMR1h&gt;255</v>
      </c>
      <c r="X43" s="194" t="str">
        <f t="shared" si="8"/>
        <v xml:space="preserve"> </v>
      </c>
    </row>
    <row r="44" spans="1:24">
      <c r="A44" s="80"/>
      <c r="C44" s="105"/>
      <c r="D44" s="109"/>
      <c r="N44" s="19" t="str">
        <f>IF(N43&lt;Advance_curve!$C$103,N43+1,"End")</f>
        <v>End</v>
      </c>
      <c r="O44" s="19" t="str">
        <f t="shared" si="9"/>
        <v xml:space="preserve"> </v>
      </c>
      <c r="P44" s="20" t="e">
        <f t="shared" si="10"/>
        <v>#N/A</v>
      </c>
      <c r="Q44" s="20" t="str">
        <f t="shared" si="11"/>
        <v xml:space="preserve"> </v>
      </c>
      <c r="R44" s="20" t="e">
        <f t="shared" si="4"/>
        <v>#VALUE!</v>
      </c>
      <c r="S44" s="164" t="e">
        <f t="shared" si="5"/>
        <v>#N/A</v>
      </c>
      <c r="T44" s="165" t="e">
        <f t="shared" si="6"/>
        <v>#VALUE!</v>
      </c>
      <c r="U44" s="227" t="str">
        <f>IF($Q44&lt;255,Advance_curve!$F$5-T44,"0")</f>
        <v>0</v>
      </c>
      <c r="V44" s="228" t="str">
        <f t="shared" si="7"/>
        <v>TMR1h&gt;255</v>
      </c>
      <c r="X44" s="194" t="str">
        <f t="shared" si="8"/>
        <v xml:space="preserve"> </v>
      </c>
    </row>
    <row r="45" spans="1:24">
      <c r="A45" s="80"/>
      <c r="C45" s="105"/>
      <c r="D45" s="109"/>
      <c r="N45" s="19" t="str">
        <f>IF(N44&lt;Advance_curve!$C$103,N44+1,"End")</f>
        <v>End</v>
      </c>
      <c r="O45" s="19" t="str">
        <f t="shared" si="9"/>
        <v xml:space="preserve"> </v>
      </c>
      <c r="P45" s="20" t="e">
        <f t="shared" si="10"/>
        <v>#N/A</v>
      </c>
      <c r="Q45" s="20" t="str">
        <f t="shared" si="11"/>
        <v xml:space="preserve"> </v>
      </c>
      <c r="R45" s="20" t="e">
        <f t="shared" si="4"/>
        <v>#VALUE!</v>
      </c>
      <c r="S45" s="164" t="e">
        <f t="shared" si="5"/>
        <v>#N/A</v>
      </c>
      <c r="T45" s="165" t="e">
        <f t="shared" si="6"/>
        <v>#VALUE!</v>
      </c>
      <c r="U45" s="227" t="str">
        <f>IF($Q45&lt;255,Advance_curve!$F$5-T45,"0")</f>
        <v>0</v>
      </c>
      <c r="V45" s="228" t="str">
        <f t="shared" si="7"/>
        <v>TMR1h&gt;255</v>
      </c>
      <c r="X45" s="194" t="str">
        <f t="shared" si="8"/>
        <v xml:space="preserve"> </v>
      </c>
    </row>
    <row r="46" spans="1:24">
      <c r="A46" s="80"/>
      <c r="C46" s="105"/>
      <c r="D46" s="109"/>
      <c r="N46" s="19" t="str">
        <f>IF(N45&lt;Advance_curve!$C$103,N45+1,"End")</f>
        <v>End</v>
      </c>
      <c r="O46" s="19" t="str">
        <f t="shared" si="9"/>
        <v xml:space="preserve"> </v>
      </c>
      <c r="P46" s="20" t="e">
        <f t="shared" si="10"/>
        <v>#N/A</v>
      </c>
      <c r="Q46" s="20" t="str">
        <f t="shared" si="11"/>
        <v xml:space="preserve"> </v>
      </c>
      <c r="R46" s="20" t="e">
        <f t="shared" si="4"/>
        <v>#VALUE!</v>
      </c>
      <c r="S46" s="164" t="e">
        <f t="shared" si="5"/>
        <v>#N/A</v>
      </c>
      <c r="T46" s="165" t="e">
        <f t="shared" si="6"/>
        <v>#VALUE!</v>
      </c>
      <c r="U46" s="227" t="str">
        <f>IF($Q46&lt;255,Advance_curve!$F$5-T46,"0")</f>
        <v>0</v>
      </c>
      <c r="V46" s="228" t="str">
        <f t="shared" si="7"/>
        <v>TMR1h&gt;255</v>
      </c>
      <c r="X46" s="194" t="str">
        <f t="shared" si="8"/>
        <v xml:space="preserve"> </v>
      </c>
    </row>
    <row r="47" spans="1:24">
      <c r="A47" s="80"/>
      <c r="C47" s="105"/>
      <c r="D47" s="109"/>
      <c r="N47" s="19" t="str">
        <f>IF(N46&lt;Advance_curve!$C$103,N46+1,"End")</f>
        <v>End</v>
      </c>
      <c r="O47" s="19" t="str">
        <f t="shared" si="9"/>
        <v xml:space="preserve"> </v>
      </c>
      <c r="P47" s="20" t="e">
        <f t="shared" si="10"/>
        <v>#N/A</v>
      </c>
      <c r="Q47" s="20" t="str">
        <f t="shared" si="11"/>
        <v xml:space="preserve"> </v>
      </c>
      <c r="R47" s="20" t="e">
        <f t="shared" si="4"/>
        <v>#VALUE!</v>
      </c>
      <c r="S47" s="164" t="e">
        <f t="shared" si="5"/>
        <v>#N/A</v>
      </c>
      <c r="T47" s="165" t="e">
        <f t="shared" si="6"/>
        <v>#VALUE!</v>
      </c>
      <c r="U47" s="227" t="str">
        <f>IF($Q47&lt;255,Advance_curve!$F$5-T47,"0")</f>
        <v>0</v>
      </c>
      <c r="V47" s="228" t="str">
        <f t="shared" si="7"/>
        <v>TMR1h&gt;255</v>
      </c>
      <c r="X47" s="194" t="str">
        <f t="shared" si="8"/>
        <v xml:space="preserve"> </v>
      </c>
    </row>
    <row r="48" spans="1:24">
      <c r="A48" s="80"/>
      <c r="C48" s="105"/>
      <c r="D48" s="109"/>
      <c r="N48" s="19" t="str">
        <f>IF(N47&lt;Advance_curve!$C$103,N47+1,"End")</f>
        <v>End</v>
      </c>
      <c r="O48" s="19" t="str">
        <f t="shared" si="9"/>
        <v xml:space="preserve"> </v>
      </c>
      <c r="P48" s="20" t="e">
        <f t="shared" si="10"/>
        <v>#N/A</v>
      </c>
      <c r="Q48" s="20" t="str">
        <f t="shared" si="11"/>
        <v xml:space="preserve"> </v>
      </c>
      <c r="R48" s="20" t="e">
        <f t="shared" si="4"/>
        <v>#VALUE!</v>
      </c>
      <c r="S48" s="164" t="e">
        <f t="shared" si="5"/>
        <v>#N/A</v>
      </c>
      <c r="T48" s="165" t="e">
        <f t="shared" si="6"/>
        <v>#VALUE!</v>
      </c>
      <c r="U48" s="227" t="str">
        <f>IF($Q48&lt;255,Advance_curve!$F$5-T48,"0")</f>
        <v>0</v>
      </c>
      <c r="V48" s="228" t="str">
        <f t="shared" si="7"/>
        <v>TMR1h&gt;255</v>
      </c>
      <c r="X48" s="194" t="str">
        <f t="shared" si="8"/>
        <v xml:space="preserve"> </v>
      </c>
    </row>
    <row r="49" spans="1:24">
      <c r="A49" s="19"/>
      <c r="C49" s="105"/>
      <c r="D49" s="109"/>
      <c r="N49" s="19" t="str">
        <f>IF(N48&lt;Advance_curve!$C$103,N48+1,"End")</f>
        <v>End</v>
      </c>
      <c r="O49" s="19" t="str">
        <f t="shared" si="9"/>
        <v xml:space="preserve"> </v>
      </c>
      <c r="P49" s="20" t="e">
        <f t="shared" si="10"/>
        <v>#N/A</v>
      </c>
      <c r="Q49" s="20" t="str">
        <f t="shared" si="11"/>
        <v xml:space="preserve"> </v>
      </c>
      <c r="R49" s="20" t="e">
        <f t="shared" si="4"/>
        <v>#VALUE!</v>
      </c>
      <c r="S49" s="164" t="e">
        <f t="shared" si="5"/>
        <v>#N/A</v>
      </c>
      <c r="T49" s="165" t="e">
        <f t="shared" si="6"/>
        <v>#VALUE!</v>
      </c>
      <c r="U49" s="227" t="str">
        <f>IF($Q49&lt;255,Advance_curve!$F$5-T49,"0")</f>
        <v>0</v>
      </c>
      <c r="V49" s="228" t="str">
        <f t="shared" si="7"/>
        <v>TMR1h&gt;255</v>
      </c>
      <c r="X49" s="194" t="str">
        <f t="shared" si="8"/>
        <v xml:space="preserve"> </v>
      </c>
    </row>
    <row r="50" spans="1:24">
      <c r="A50" s="19"/>
      <c r="C50" s="105"/>
      <c r="D50" s="109"/>
    </row>
    <row r="51" spans="1:24">
      <c r="A51" s="19"/>
      <c r="C51" s="105"/>
      <c r="D51" s="109"/>
    </row>
    <row r="52" spans="1:24">
      <c r="A52" s="19"/>
      <c r="C52" s="105"/>
      <c r="D52" s="109"/>
    </row>
    <row r="53" spans="1:24">
      <c r="A53" s="19"/>
      <c r="C53" s="105"/>
      <c r="D53" s="109"/>
    </row>
    <row r="54" spans="1:24">
      <c r="A54" s="19"/>
      <c r="C54" s="105"/>
      <c r="D54" s="109"/>
    </row>
    <row r="55" spans="1:24">
      <c r="A55" s="19"/>
      <c r="C55" s="105"/>
      <c r="D55" s="109"/>
    </row>
    <row r="56" spans="1:24">
      <c r="C56" s="105"/>
      <c r="D56" s="109"/>
    </row>
    <row r="57" spans="1:24">
      <c r="C57" s="105"/>
      <c r="D57" s="109"/>
    </row>
    <row r="58" spans="1:24">
      <c r="C58" s="105"/>
      <c r="D58" s="109"/>
    </row>
    <row r="59" spans="1:24">
      <c r="C59" s="105"/>
      <c r="D59" s="109"/>
    </row>
    <row r="60" spans="1:24">
      <c r="C60" s="105"/>
      <c r="D60" s="109"/>
    </row>
    <row r="61" spans="1:24">
      <c r="C61" s="105"/>
      <c r="D61" s="109"/>
    </row>
    <row r="62" spans="1:24">
      <c r="C62" s="105"/>
      <c r="D62" s="109"/>
    </row>
    <row r="63" spans="1:24">
      <c r="C63" s="105"/>
      <c r="D63" s="109"/>
    </row>
    <row r="64" spans="1:24">
      <c r="C64" s="105"/>
      <c r="D64" s="109"/>
    </row>
    <row r="65" spans="3:4">
      <c r="C65" s="105"/>
      <c r="D65" s="109"/>
    </row>
    <row r="66" spans="3:4">
      <c r="C66" s="105"/>
      <c r="D66" s="109"/>
    </row>
    <row r="67" spans="3:4">
      <c r="C67" s="105"/>
      <c r="D67" s="109"/>
    </row>
    <row r="68" spans="3:4">
      <c r="C68" s="105"/>
      <c r="D68" s="109"/>
    </row>
    <row r="69" spans="3:4">
      <c r="C69" s="105"/>
      <c r="D69" s="109"/>
    </row>
    <row r="70" spans="3:4">
      <c r="C70" s="105"/>
      <c r="D70" s="109"/>
    </row>
    <row r="71" spans="3:4">
      <c r="C71" s="105"/>
      <c r="D71" s="109"/>
    </row>
    <row r="72" spans="3:4">
      <c r="C72" s="105"/>
      <c r="D72" s="109"/>
    </row>
    <row r="73" spans="3:4">
      <c r="C73" s="105"/>
      <c r="D73" s="109"/>
    </row>
    <row r="74" spans="3:4">
      <c r="C74" s="105"/>
      <c r="D74" s="109"/>
    </row>
    <row r="75" spans="3:4">
      <c r="C75" s="105"/>
      <c r="D75" s="109"/>
    </row>
    <row r="76" spans="3:4">
      <c r="C76" s="105"/>
      <c r="D76" s="109"/>
    </row>
    <row r="77" spans="3:4">
      <c r="C77" s="105"/>
      <c r="D77" s="109"/>
    </row>
    <row r="78" spans="3:4">
      <c r="C78" s="105"/>
      <c r="D78" s="109"/>
    </row>
    <row r="79" spans="3:4">
      <c r="C79" s="105"/>
      <c r="D79" s="109"/>
    </row>
    <row r="80" spans="3:4">
      <c r="C80" s="105"/>
      <c r="D80" s="109"/>
    </row>
    <row r="81" spans="3:4">
      <c r="C81" s="105"/>
      <c r="D81" s="109"/>
    </row>
    <row r="82" spans="3:4">
      <c r="C82" s="105"/>
      <c r="D82" s="109"/>
    </row>
    <row r="83" spans="3:4">
      <c r="C83" s="105"/>
      <c r="D83" s="109"/>
    </row>
    <row r="84" spans="3:4">
      <c r="C84" s="105"/>
      <c r="D84" s="109"/>
    </row>
    <row r="85" spans="3:4">
      <c r="C85" s="105"/>
      <c r="D85" s="109"/>
    </row>
    <row r="86" spans="3:4">
      <c r="C86" s="105"/>
      <c r="D86" s="109"/>
    </row>
    <row r="87" spans="3:4">
      <c r="C87" s="105"/>
      <c r="D87" s="109"/>
    </row>
    <row r="88" spans="3:4">
      <c r="C88" s="105"/>
      <c r="D88" s="109"/>
    </row>
    <row r="89" spans="3:4">
      <c r="C89" s="105"/>
      <c r="D89" s="109"/>
    </row>
    <row r="90" spans="3:4">
      <c r="C90" s="105"/>
      <c r="D90" s="109"/>
    </row>
    <row r="91" spans="3:4">
      <c r="C91" s="105"/>
      <c r="D91" s="109"/>
    </row>
    <row r="92" spans="3:4">
      <c r="C92" s="105"/>
      <c r="D92" s="109"/>
    </row>
    <row r="93" spans="3:4">
      <c r="C93" s="105"/>
      <c r="D93" s="109"/>
    </row>
    <row r="94" spans="3:4">
      <c r="C94" s="105"/>
      <c r="D94" s="109"/>
    </row>
    <row r="95" spans="3:4">
      <c r="C95" s="105"/>
      <c r="D95" s="109"/>
    </row>
    <row r="96" spans="3:4">
      <c r="C96" s="105"/>
      <c r="D96" s="109"/>
    </row>
    <row r="97" spans="3:13">
      <c r="C97" s="105"/>
      <c r="D97" s="109"/>
    </row>
    <row r="98" spans="3:13">
      <c r="C98" s="105"/>
      <c r="D98" s="109"/>
    </row>
    <row r="99" spans="3:13">
      <c r="C99" s="105"/>
      <c r="D99" s="109"/>
    </row>
    <row r="100" spans="3:13">
      <c r="C100" s="105"/>
      <c r="D100" s="109"/>
    </row>
    <row r="101" spans="3:13">
      <c r="C101" s="105"/>
      <c r="D101" s="109"/>
    </row>
    <row r="102" spans="3:13">
      <c r="C102" s="105"/>
      <c r="D102" s="109"/>
    </row>
    <row r="103" spans="3:13">
      <c r="C103" s="105"/>
      <c r="D103" s="109"/>
    </row>
    <row r="104" spans="3:13">
      <c r="C104" s="105"/>
      <c r="D104" s="109"/>
    </row>
    <row r="105" spans="3:13">
      <c r="C105" s="105"/>
      <c r="D105" s="109"/>
      <c r="M105" s="1"/>
    </row>
    <row r="106" spans="3:13">
      <c r="C106" s="105"/>
      <c r="D106" s="109"/>
      <c r="M106" s="1"/>
    </row>
    <row r="107" spans="3:13">
      <c r="C107" s="105"/>
      <c r="D107" s="109"/>
      <c r="M107" s="1"/>
    </row>
    <row r="108" spans="3:13">
      <c r="C108" s="105"/>
      <c r="D108" s="109"/>
      <c r="M108" s="1"/>
    </row>
    <row r="109" spans="3:13">
      <c r="C109" s="105"/>
      <c r="D109" s="109"/>
      <c r="M109" s="1"/>
    </row>
    <row r="110" spans="3:13">
      <c r="C110" s="105"/>
      <c r="D110" s="109"/>
      <c r="M110" s="1"/>
    </row>
    <row r="111" spans="3:13">
      <c r="C111" s="105"/>
      <c r="D111" s="109"/>
      <c r="M111" s="1"/>
    </row>
    <row r="112" spans="3:13">
      <c r="C112" s="105"/>
      <c r="D112" s="109"/>
      <c r="M112" s="1"/>
    </row>
    <row r="113" spans="3:13">
      <c r="C113" s="105"/>
      <c r="D113" s="109"/>
      <c r="M113" s="1"/>
    </row>
    <row r="114" spans="3:13">
      <c r="C114" s="105"/>
      <c r="D114" s="109"/>
      <c r="M114" s="1"/>
    </row>
    <row r="115" spans="3:13">
      <c r="C115" s="105"/>
      <c r="D115" s="109"/>
      <c r="M115" s="1"/>
    </row>
    <row r="116" spans="3:13">
      <c r="C116" s="105"/>
      <c r="D116" s="109"/>
      <c r="M116" s="1"/>
    </row>
    <row r="117" spans="3:13">
      <c r="C117" s="105"/>
      <c r="D117" s="109"/>
      <c r="M117" s="1"/>
    </row>
    <row r="118" spans="3:13">
      <c r="C118" s="105"/>
      <c r="D118" s="109"/>
      <c r="M118" s="1"/>
    </row>
    <row r="119" spans="3:13">
      <c r="C119" s="105"/>
      <c r="D119" s="109"/>
      <c r="M119" s="1"/>
    </row>
    <row r="120" spans="3:13">
      <c r="C120" s="105"/>
      <c r="D120" s="109"/>
      <c r="M120" s="1"/>
    </row>
    <row r="121" spans="3:13">
      <c r="C121" s="105"/>
      <c r="D121" s="109"/>
      <c r="M121" s="1"/>
    </row>
    <row r="122" spans="3:13">
      <c r="C122" s="105"/>
      <c r="D122" s="109"/>
      <c r="M122" s="1"/>
    </row>
    <row r="123" spans="3:13">
      <c r="C123" s="105"/>
      <c r="D123" s="109"/>
      <c r="M123" s="1"/>
    </row>
    <row r="124" spans="3:13">
      <c r="C124" s="105"/>
      <c r="D124" s="109"/>
      <c r="M124" s="1"/>
    </row>
    <row r="125" spans="3:13">
      <c r="C125" s="105"/>
      <c r="D125" s="109"/>
      <c r="M125" s="1"/>
    </row>
    <row r="126" spans="3:13">
      <c r="C126" s="105"/>
      <c r="D126" s="109"/>
      <c r="M126" s="1"/>
    </row>
    <row r="127" spans="3:13">
      <c r="C127" s="105"/>
      <c r="D127" s="109"/>
      <c r="M127" s="1"/>
    </row>
    <row r="128" spans="3:13">
      <c r="C128" s="105"/>
      <c r="D128" s="109"/>
      <c r="M128" s="1"/>
    </row>
    <row r="129" spans="3:13">
      <c r="C129" s="105"/>
      <c r="D129" s="109"/>
      <c r="M129" s="1"/>
    </row>
    <row r="130" spans="3:13">
      <c r="C130" s="105"/>
      <c r="D130" s="109"/>
      <c r="M130" s="1"/>
    </row>
    <row r="131" spans="3:13">
      <c r="C131" s="105"/>
      <c r="D131" s="109"/>
    </row>
    <row r="132" spans="3:13">
      <c r="C132" s="105"/>
      <c r="D132" s="109"/>
    </row>
    <row r="133" spans="3:13">
      <c r="C133" s="105"/>
      <c r="D133" s="109"/>
    </row>
    <row r="134" spans="3:13">
      <c r="C134" s="105"/>
      <c r="D134" s="109"/>
    </row>
    <row r="135" spans="3:13">
      <c r="C135" s="105"/>
      <c r="D135" s="109"/>
    </row>
    <row r="136" spans="3:13">
      <c r="C136" s="105"/>
      <c r="D136" s="109"/>
    </row>
    <row r="137" spans="3:13">
      <c r="C137" s="105"/>
      <c r="D137" s="109"/>
    </row>
    <row r="138" spans="3:13">
      <c r="C138" s="105"/>
      <c r="D138" s="109"/>
    </row>
    <row r="139" spans="3:13">
      <c r="C139" s="105"/>
      <c r="D139" s="109"/>
    </row>
    <row r="140" spans="3:13">
      <c r="C140" s="105"/>
      <c r="D140" s="109"/>
    </row>
    <row r="141" spans="3:13">
      <c r="C141" s="105"/>
      <c r="D141" s="109"/>
    </row>
    <row r="142" spans="3:13">
      <c r="C142" s="105"/>
      <c r="D142" s="109"/>
    </row>
    <row r="143" spans="3:13">
      <c r="C143" s="105"/>
      <c r="D143" s="109"/>
    </row>
    <row r="144" spans="3:13">
      <c r="C144" s="105"/>
      <c r="D144" s="109"/>
    </row>
    <row r="145" spans="3:4">
      <c r="C145" s="105"/>
      <c r="D145" s="109"/>
    </row>
    <row r="146" spans="3:4">
      <c r="C146" s="105"/>
      <c r="D146" s="109"/>
    </row>
    <row r="147" spans="3:4">
      <c r="C147" s="105"/>
      <c r="D147" s="109"/>
    </row>
    <row r="148" spans="3:4">
      <c r="C148" s="105"/>
      <c r="D148" s="109"/>
    </row>
    <row r="149" spans="3:4">
      <c r="C149" s="105"/>
      <c r="D149" s="109"/>
    </row>
    <row r="150" spans="3:4">
      <c r="C150" s="105"/>
      <c r="D150" s="109"/>
    </row>
    <row r="151" spans="3:4">
      <c r="C151" s="105"/>
      <c r="D151" s="109"/>
    </row>
    <row r="152" spans="3:4">
      <c r="C152" s="105"/>
      <c r="D152" s="109"/>
    </row>
    <row r="153" spans="3:4">
      <c r="C153" s="105"/>
      <c r="D153" s="109"/>
    </row>
    <row r="154" spans="3:4">
      <c r="C154" s="105"/>
      <c r="D154" s="109"/>
    </row>
    <row r="155" spans="3:4">
      <c r="C155" s="105"/>
      <c r="D155" s="109"/>
    </row>
    <row r="156" spans="3:4">
      <c r="C156" s="105"/>
      <c r="D156" s="109"/>
    </row>
    <row r="157" spans="3:4">
      <c r="C157" s="105"/>
      <c r="D157" s="109"/>
    </row>
    <row r="158" spans="3:4">
      <c r="C158" s="105"/>
      <c r="D158" s="109"/>
    </row>
    <row r="159" spans="3:4">
      <c r="C159" s="105"/>
      <c r="D159" s="109"/>
    </row>
    <row r="160" spans="3:4">
      <c r="C160" s="105"/>
      <c r="D160" s="109"/>
    </row>
    <row r="161" spans="3:4">
      <c r="C161" s="105"/>
      <c r="D161" s="109"/>
    </row>
    <row r="162" spans="3:4">
      <c r="C162" s="105"/>
      <c r="D162" s="109"/>
    </row>
    <row r="163" spans="3:4">
      <c r="C163" s="105"/>
      <c r="D163" s="109"/>
    </row>
    <row r="164" spans="3:4">
      <c r="C164" s="105"/>
      <c r="D164" s="109"/>
    </row>
    <row r="165" spans="3:4">
      <c r="C165" s="105"/>
      <c r="D165" s="109"/>
    </row>
    <row r="166" spans="3:4">
      <c r="C166" s="105"/>
      <c r="D166" s="109"/>
    </row>
    <row r="167" spans="3:4">
      <c r="C167" s="105"/>
      <c r="D167" s="109"/>
    </row>
    <row r="168" spans="3:4">
      <c r="C168" s="105"/>
      <c r="D168" s="109"/>
    </row>
    <row r="169" spans="3:4">
      <c r="C169" s="105"/>
      <c r="D169" s="109"/>
    </row>
    <row r="170" spans="3:4">
      <c r="C170" s="105"/>
      <c r="D170" s="109"/>
    </row>
    <row r="171" spans="3:4">
      <c r="C171" s="105"/>
      <c r="D171" s="109"/>
    </row>
    <row r="172" spans="3:4">
      <c r="C172" s="105"/>
      <c r="D172" s="109"/>
    </row>
    <row r="173" spans="3:4">
      <c r="C173" s="105"/>
      <c r="D173" s="109"/>
    </row>
    <row r="174" spans="3:4">
      <c r="C174" s="105"/>
      <c r="D174" s="109"/>
    </row>
    <row r="175" spans="3:4">
      <c r="C175" s="105"/>
      <c r="D175" s="109"/>
    </row>
    <row r="176" spans="3:4">
      <c r="C176" s="105"/>
      <c r="D176" s="109"/>
    </row>
    <row r="177" spans="3:4">
      <c r="C177" s="105"/>
      <c r="D177" s="109"/>
    </row>
    <row r="178" spans="3:4">
      <c r="C178" s="105"/>
      <c r="D178" s="109"/>
    </row>
    <row r="179" spans="3:4">
      <c r="C179" s="105"/>
      <c r="D179" s="109"/>
    </row>
    <row r="180" spans="3:4">
      <c r="C180" s="105"/>
      <c r="D180" s="109"/>
    </row>
    <row r="181" spans="3:4">
      <c r="C181" s="105"/>
      <c r="D181" s="109"/>
    </row>
    <row r="182" spans="3:4">
      <c r="C182" s="105"/>
      <c r="D182" s="109"/>
    </row>
    <row r="183" spans="3:4">
      <c r="C183" s="105"/>
      <c r="D183" s="109"/>
    </row>
    <row r="184" spans="3:4">
      <c r="C184" s="105"/>
      <c r="D184" s="109"/>
    </row>
    <row r="185" spans="3:4">
      <c r="C185" s="105"/>
      <c r="D185" s="109"/>
    </row>
    <row r="186" spans="3:4">
      <c r="C186" s="105"/>
      <c r="D186" s="109"/>
    </row>
    <row r="187" spans="3:4">
      <c r="C187" s="105"/>
      <c r="D187" s="109"/>
    </row>
    <row r="188" spans="3:4">
      <c r="C188" s="105"/>
      <c r="D188" s="109"/>
    </row>
    <row r="189" spans="3:4">
      <c r="C189" s="105"/>
      <c r="D189" s="109"/>
    </row>
    <row r="190" spans="3:4">
      <c r="C190" s="105"/>
      <c r="D190" s="109"/>
    </row>
    <row r="191" spans="3:4">
      <c r="C191" s="105"/>
      <c r="D191" s="109"/>
    </row>
    <row r="192" spans="3:4">
      <c r="C192" s="105"/>
      <c r="D192" s="109"/>
    </row>
    <row r="193" spans="3:4">
      <c r="C193" s="105"/>
      <c r="D193" s="109"/>
    </row>
    <row r="194" spans="3:4">
      <c r="C194" s="105"/>
      <c r="D194" s="109"/>
    </row>
    <row r="195" spans="3:4">
      <c r="C195" s="105"/>
      <c r="D195" s="109"/>
    </row>
    <row r="196" spans="3:4">
      <c r="C196" s="105"/>
      <c r="D196" s="109"/>
    </row>
    <row r="197" spans="3:4">
      <c r="C197" s="105"/>
      <c r="D197" s="109"/>
    </row>
    <row r="198" spans="3:4">
      <c r="C198" s="105"/>
      <c r="D198" s="109"/>
    </row>
    <row r="199" spans="3:4">
      <c r="C199" s="105"/>
      <c r="D199" s="109"/>
    </row>
    <row r="200" spans="3:4">
      <c r="C200" s="105"/>
      <c r="D200" s="109"/>
    </row>
  </sheetData>
  <sheetProtection sheet="1" objects="1" scenarios="1" selectLockedCells="1"/>
  <mergeCells count="1">
    <mergeCell ref="G1:H1"/>
  </mergeCells>
  <phoneticPr fontId="0" type="noConversion"/>
  <dataValidations count="1">
    <dataValidation type="list" allowBlank="1" showInputMessage="1" showErrorMessage="1" sqref="I2" xr:uid="{00000000-0002-0000-0200-000000000000}">
      <formula1>"1,2,3,4,5,6,7,8,9,10,11,12,13,14,15,16,17,18,19,20,21,22,23,24,25,30,40,50,60,70,80,90,100"</formula1>
    </dataValidation>
  </dataValidations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K11"/>
  <sheetViews>
    <sheetView workbookViewId="0"/>
  </sheetViews>
  <sheetFormatPr baseColWidth="10" defaultRowHeight="12.75"/>
  <cols>
    <col min="2" max="2" width="28.85546875" bestFit="1" customWidth="1"/>
  </cols>
  <sheetData>
    <row r="2" spans="2:11" ht="20.25">
      <c r="B2" s="222" t="str">
        <f>CONCATENATE("Advance from ",E9," to ",advance_at_lowRPM!X7," RPM")</f>
        <v>Advance from 91 to 960 RPM</v>
      </c>
      <c r="C2" s="196"/>
      <c r="D2" s="198"/>
      <c r="E2" s="166"/>
      <c r="F2" s="166"/>
      <c r="G2" s="166"/>
      <c r="H2" s="166"/>
      <c r="I2" s="166"/>
      <c r="J2" s="166"/>
      <c r="K2" s="166"/>
    </row>
    <row r="3" spans="2:11">
      <c r="B3" s="166"/>
      <c r="C3" s="166"/>
      <c r="D3" s="166"/>
      <c r="E3" s="166"/>
      <c r="F3" s="166"/>
      <c r="G3" s="166" t="s">
        <v>240</v>
      </c>
      <c r="H3" s="166"/>
      <c r="I3" s="166"/>
      <c r="J3" s="166"/>
      <c r="K3" s="166"/>
    </row>
    <row r="4" spans="2:11">
      <c r="B4" s="166" t="s">
        <v>100</v>
      </c>
      <c r="C4" s="166">
        <f>Advance_curve!M30</f>
        <v>2</v>
      </c>
      <c r="D4" s="1"/>
      <c r="E4" s="166"/>
      <c r="F4" s="166"/>
      <c r="G4" s="167" t="s">
        <v>241</v>
      </c>
      <c r="H4" s="166"/>
      <c r="I4" s="166"/>
      <c r="J4" s="166"/>
      <c r="K4" s="166"/>
    </row>
    <row r="5" spans="2:11">
      <c r="B5" s="166" t="s">
        <v>242</v>
      </c>
      <c r="C5" s="166">
        <v>4</v>
      </c>
      <c r="D5" s="166"/>
      <c r="E5" s="166"/>
      <c r="F5" s="166"/>
      <c r="G5" s="166" t="s">
        <v>243</v>
      </c>
      <c r="H5" s="166"/>
      <c r="I5" s="166"/>
      <c r="J5" s="166"/>
      <c r="K5" s="166"/>
    </row>
    <row r="6" spans="2:11">
      <c r="B6" s="167" t="s">
        <v>244</v>
      </c>
      <c r="C6" s="166">
        <f>4*C4/C5</f>
        <v>2</v>
      </c>
      <c r="D6" s="166"/>
      <c r="E6" s="98">
        <v>5</v>
      </c>
      <c r="F6" s="98" t="s">
        <v>251</v>
      </c>
      <c r="G6" s="166"/>
      <c r="H6" s="166"/>
      <c r="I6" s="166"/>
      <c r="J6" s="166"/>
      <c r="K6" s="166"/>
    </row>
    <row r="7" spans="2:11">
      <c r="B7" s="167" t="s">
        <v>245</v>
      </c>
      <c r="C7" s="202">
        <f>65536*C6/1000</f>
        <v>131.072</v>
      </c>
      <c r="D7" s="167" t="s">
        <v>11</v>
      </c>
      <c r="E7" s="223">
        <f>E6*C7</f>
        <v>655.36</v>
      </c>
      <c r="F7" s="98" t="s">
        <v>11</v>
      </c>
      <c r="G7" s="166"/>
      <c r="H7" s="166"/>
      <c r="I7" s="166"/>
      <c r="J7" s="166"/>
      <c r="K7" s="166"/>
    </row>
    <row r="8" spans="2:11">
      <c r="B8" s="167" t="s">
        <v>246</v>
      </c>
      <c r="C8" s="166">
        <f>Advance_curve!F5</f>
        <v>50</v>
      </c>
      <c r="D8" s="167" t="s">
        <v>247</v>
      </c>
      <c r="E8" s="223">
        <f>1000/E7</f>
        <v>1.52587890625</v>
      </c>
      <c r="F8" s="98" t="s">
        <v>9</v>
      </c>
      <c r="G8" s="166"/>
      <c r="H8" s="166"/>
      <c r="I8" s="166"/>
      <c r="J8" s="166"/>
      <c r="K8" s="166"/>
    </row>
    <row r="9" spans="2:11">
      <c r="B9" s="167" t="s">
        <v>248</v>
      </c>
      <c r="C9" s="203">
        <f>(C7/360)*C8</f>
        <v>18.204444444444444</v>
      </c>
      <c r="D9" s="167" t="s">
        <v>11</v>
      </c>
      <c r="E9" s="224">
        <f>INT(60*E8)</f>
        <v>91</v>
      </c>
      <c r="F9" s="98" t="s">
        <v>249</v>
      </c>
      <c r="G9" s="166"/>
      <c r="H9" s="166"/>
      <c r="I9" s="166"/>
      <c r="J9" s="166"/>
      <c r="K9" s="166"/>
    </row>
    <row r="10" spans="2:11">
      <c r="B10" s="166"/>
      <c r="C10" s="166"/>
      <c r="D10" s="166"/>
      <c r="E10" s="166"/>
      <c r="F10" s="166"/>
      <c r="G10" s="166"/>
      <c r="H10" s="166"/>
      <c r="I10" s="166"/>
      <c r="J10" s="166"/>
      <c r="K10" s="166"/>
    </row>
    <row r="11" spans="2:11">
      <c r="B11" s="166"/>
      <c r="C11" s="166"/>
      <c r="D11" s="166"/>
      <c r="E11" s="166"/>
      <c r="F11" s="166"/>
      <c r="G11" s="166"/>
      <c r="H11" s="166"/>
      <c r="I11" s="166"/>
      <c r="J11" s="166"/>
      <c r="K11" s="166"/>
    </row>
  </sheetData>
  <sheetProtection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F130"/>
  <sheetViews>
    <sheetView workbookViewId="0">
      <selection activeCell="J25" sqref="J25"/>
    </sheetView>
  </sheetViews>
  <sheetFormatPr baseColWidth="10" defaultRowHeight="13.5"/>
  <cols>
    <col min="1" max="1" width="8.140625" bestFit="1" customWidth="1"/>
    <col min="2" max="2" width="5.85546875" bestFit="1" customWidth="1"/>
    <col min="3" max="3" width="8.85546875" customWidth="1"/>
    <col min="4" max="10" width="5" customWidth="1"/>
    <col min="11" max="11" width="4" bestFit="1" customWidth="1"/>
    <col min="12" max="12" width="5.28515625" customWidth="1"/>
    <col min="13" max="13" width="34.42578125" style="41" customWidth="1"/>
    <col min="14" max="14" width="2.140625" style="41" bestFit="1" customWidth="1"/>
    <col min="15" max="15" width="30" bestFit="1" customWidth="1"/>
    <col min="16" max="16" width="7" customWidth="1"/>
    <col min="17" max="17" width="10.5703125" bestFit="1" customWidth="1"/>
    <col min="18" max="18" width="11.7109375" bestFit="1" customWidth="1"/>
    <col min="19" max="19" width="7" customWidth="1"/>
    <col min="20" max="20" width="8.85546875" customWidth="1"/>
    <col min="21" max="28" width="7" customWidth="1"/>
    <col min="29" max="29" width="7.7109375" customWidth="1"/>
    <col min="30" max="30" width="5.5703125" bestFit="1" customWidth="1"/>
    <col min="31" max="31" width="4.42578125" bestFit="1" customWidth="1"/>
    <col min="32" max="32" width="3.42578125" bestFit="1" customWidth="1"/>
    <col min="33" max="259" width="9.140625" customWidth="1"/>
  </cols>
  <sheetData>
    <row r="1" spans="1:32" ht="18" customHeight="1">
      <c r="M1" s="49" t="s">
        <v>52</v>
      </c>
      <c r="O1" s="49" t="s">
        <v>53</v>
      </c>
      <c r="Z1" s="45" t="s">
        <v>159</v>
      </c>
    </row>
    <row r="2" spans="1:32" ht="39">
      <c r="A2" s="62" t="s">
        <v>48</v>
      </c>
      <c r="B2" s="63" t="s">
        <v>43</v>
      </c>
      <c r="C2" s="64" t="s">
        <v>47</v>
      </c>
      <c r="D2" s="65" t="s">
        <v>31</v>
      </c>
      <c r="E2" s="65" t="s">
        <v>32</v>
      </c>
      <c r="F2" s="65" t="s">
        <v>33</v>
      </c>
      <c r="G2" s="65" t="s">
        <v>34</v>
      </c>
      <c r="H2" s="65" t="s">
        <v>35</v>
      </c>
      <c r="I2" s="65" t="s">
        <v>36</v>
      </c>
      <c r="J2" s="65" t="s">
        <v>37</v>
      </c>
      <c r="K2" s="65" t="s">
        <v>38</v>
      </c>
      <c r="M2" s="192" t="s">
        <v>39</v>
      </c>
      <c r="Q2" s="117" t="s">
        <v>112</v>
      </c>
      <c r="R2" s="117" t="s">
        <v>113</v>
      </c>
      <c r="S2" s="117" t="s">
        <v>114</v>
      </c>
      <c r="T2" s="117" t="s">
        <v>115</v>
      </c>
      <c r="U2" s="117" t="s">
        <v>117</v>
      </c>
      <c r="V2" s="117" t="s">
        <v>116</v>
      </c>
    </row>
    <row r="3" spans="1:32">
      <c r="A3" s="66" t="str">
        <f t="shared" ref="A3:A12" si="0">DEC2HEX(C3,4)</f>
        <v>0000</v>
      </c>
      <c r="B3" s="67">
        <v>8</v>
      </c>
      <c r="C3" s="66">
        <v>0</v>
      </c>
      <c r="D3" s="68">
        <f>Advance_curve!J9</f>
        <v>27</v>
      </c>
      <c r="E3" s="68">
        <f>Advance_curve!J10</f>
        <v>29</v>
      </c>
      <c r="F3" s="68">
        <f>Advance_curve!J11</f>
        <v>31</v>
      </c>
      <c r="G3" s="68">
        <f>Advance_curve!J12</f>
        <v>33</v>
      </c>
      <c r="H3" s="189">
        <f>Advance_curve!J13</f>
        <v>34</v>
      </c>
      <c r="I3" s="68">
        <f>Advance_curve!J14</f>
        <v>37</v>
      </c>
      <c r="J3" s="68">
        <f>Advance_curve!J15</f>
        <v>39</v>
      </c>
      <c r="K3" s="68">
        <f>Advance_curve!J16</f>
        <v>42</v>
      </c>
      <c r="M3" s="54" t="str">
        <f>":"&amp;DEC2HEX(B3,2)&amp;DEC2HEX(C3,4)&amp;"00"&amp;DEC2HEX(D3,2)&amp;DEC2HEX(E3,2)&amp;DEC2HEX(F3,2)&amp;DEC2HEX(G3,2)&amp;DEC2HEX(H3,2)&amp;DEC2HEX(I3,2)&amp;DEC2HEX(J3,2)&amp;DEC2HEX(K3,2)&amp;V3</f>
        <v>:080000001B1D1F212225272AE8</v>
      </c>
      <c r="O3" s="61" t="str">
        <f>DEC2HEX(D3,2)&amp;" "&amp;DEC2HEX(E3,2)&amp;" "&amp;DEC2HEX(F3,2)&amp;" "&amp;DEC2HEX(G3,2)&amp;"   "&amp;DEC2HEX(H3,2)&amp;" "&amp;DEC2HEX(I3,2)&amp;" "&amp;DEC2HEX(J3,2)&amp;" "&amp;DEC2HEX(K3,2)</f>
        <v>1B 1D 1F 21   22 25 27 2A</v>
      </c>
      <c r="Q3" s="105">
        <f>SUM(B3:K3)</f>
        <v>280</v>
      </c>
      <c r="R3" s="105" t="str">
        <f>DEC2HEX(Q3)</f>
        <v>118</v>
      </c>
      <c r="S3" s="105" t="str">
        <f>RIGHT(R3,2)</f>
        <v>18</v>
      </c>
      <c r="T3" s="105">
        <f>255-HEX2DEC(S3)</f>
        <v>231</v>
      </c>
      <c r="U3" s="105">
        <f>T3+1</f>
        <v>232</v>
      </c>
      <c r="V3" s="105" t="str">
        <f t="shared" ref="V3:V11" si="1">IF(U3=256,"00",DEC2HEX(U3,2))</f>
        <v>E8</v>
      </c>
      <c r="Z3" s="61" t="str">
        <f>DEC2HEX(D3,2)</f>
        <v>1B</v>
      </c>
      <c r="AE3" s="41"/>
      <c r="AF3" s="47"/>
    </row>
    <row r="4" spans="1:32">
      <c r="A4" s="66" t="str">
        <f t="shared" si="0"/>
        <v>0008</v>
      </c>
      <c r="B4" s="67">
        <v>8</v>
      </c>
      <c r="C4" s="66">
        <v>8</v>
      </c>
      <c r="D4" s="68">
        <f>Advance_curve!J17</f>
        <v>45</v>
      </c>
      <c r="E4" s="68">
        <f>Advance_curve!J18</f>
        <v>47</v>
      </c>
      <c r="F4" s="68">
        <f>Advance_curve!J19</f>
        <v>50</v>
      </c>
      <c r="G4" s="68">
        <f>Advance_curve!J20</f>
        <v>52</v>
      </c>
      <c r="H4" s="189">
        <f>Advance_curve!J21</f>
        <v>55</v>
      </c>
      <c r="I4" s="68">
        <f>Advance_curve!J22</f>
        <v>57</v>
      </c>
      <c r="J4" s="68">
        <f>Advance_curve!J23</f>
        <v>60</v>
      </c>
      <c r="K4" s="68">
        <f>Advance_curve!J24</f>
        <v>63</v>
      </c>
      <c r="M4" s="54" t="str">
        <f>":"&amp;DEC2HEX(B4,2)&amp;DEC2HEX(C4,4)&amp;"00"&amp;DEC2HEX(D4,2)&amp;DEC2HEX(E4,2)&amp;DEC2HEX(F4,2)&amp;DEC2HEX(G4,2)&amp;DEC2HEX(H4,2)&amp;DEC2HEX(I4,2)&amp;DEC2HEX(J4,2)&amp;DEC2HEX(K4,2)&amp;V4</f>
        <v>:080008002D2F323437393C3F43</v>
      </c>
      <c r="O4" s="54" t="str">
        <f t="shared" ref="O4:O16" si="2">DEC2HEX(D4,2)&amp;" "&amp;DEC2HEX(E4,2)&amp;" "&amp;DEC2HEX(F4,2)&amp;" "&amp;DEC2HEX(G4,2)&amp;"   "&amp;DEC2HEX(H4,2)&amp;" "&amp;DEC2HEX(I4,2)&amp;" "&amp;DEC2HEX(J4,2)&amp;" "&amp;DEC2HEX(K4,2)</f>
        <v>2D 2F 32 34   37 39 3C 3F</v>
      </c>
      <c r="Q4" s="105">
        <f t="shared" ref="Q4:Q15" si="3">SUM(B4:K4)</f>
        <v>445</v>
      </c>
      <c r="R4" s="105" t="str">
        <f t="shared" ref="R4:R18" si="4">DEC2HEX(Q4)</f>
        <v>1BD</v>
      </c>
      <c r="S4" s="105" t="str">
        <f t="shared" ref="S4:S18" si="5">RIGHT(R4,2)</f>
        <v>BD</v>
      </c>
      <c r="T4" s="105">
        <f t="shared" ref="T4:T18" si="6">255-HEX2DEC(S4)</f>
        <v>66</v>
      </c>
      <c r="U4" s="105">
        <f t="shared" ref="U4:U18" si="7">T4+1</f>
        <v>67</v>
      </c>
      <c r="V4" s="105" t="str">
        <f t="shared" si="1"/>
        <v>43</v>
      </c>
      <c r="Z4" s="54" t="str">
        <f>DEC2HEX(E3,2)</f>
        <v>1D</v>
      </c>
    </row>
    <row r="5" spans="1:32">
      <c r="A5" s="66" t="str">
        <f t="shared" si="0"/>
        <v>0010</v>
      </c>
      <c r="B5" s="67">
        <v>8</v>
      </c>
      <c r="C5" s="66">
        <v>16</v>
      </c>
      <c r="D5" s="68">
        <f>Advance_curve!J25</f>
        <v>65</v>
      </c>
      <c r="E5" s="68">
        <f>Advance_curve!J26</f>
        <v>68</v>
      </c>
      <c r="F5" s="68">
        <f>Advance_curve!J27</f>
        <v>70</v>
      </c>
      <c r="G5" s="68">
        <f>Advance_curve!J28</f>
        <v>73</v>
      </c>
      <c r="H5" s="189">
        <f>Advance_curve!J29</f>
        <v>75</v>
      </c>
      <c r="I5" s="68">
        <f>Advance_curve!J30</f>
        <v>78</v>
      </c>
      <c r="J5" s="68">
        <f>Advance_curve!J31</f>
        <v>80</v>
      </c>
      <c r="K5" s="68">
        <f>Advance_curve!J32</f>
        <v>83</v>
      </c>
      <c r="M5" s="54" t="str">
        <f t="shared" ref="M5:M16" si="8">":"&amp;DEC2HEX(B5,2)&amp;DEC2HEX(C5,4)&amp;"00"&amp;DEC2HEX(D5,2)&amp;DEC2HEX(E5,2)&amp;DEC2HEX(F5,2)&amp;DEC2HEX(G5,2)&amp;DEC2HEX(H5,2)&amp;DEC2HEX(I5,2)&amp;DEC2HEX(J5,2)&amp;DEC2HEX(K5,2)&amp;V5</f>
        <v>:08001000414446494B4E505398</v>
      </c>
      <c r="O5" s="54" t="str">
        <f t="shared" si="2"/>
        <v>41 44 46 49   4B 4E 50 53</v>
      </c>
      <c r="Q5" s="105">
        <f t="shared" si="3"/>
        <v>616</v>
      </c>
      <c r="R5" s="105" t="str">
        <f t="shared" si="4"/>
        <v>268</v>
      </c>
      <c r="S5" s="105" t="str">
        <f t="shared" si="5"/>
        <v>68</v>
      </c>
      <c r="T5" s="105">
        <f t="shared" si="6"/>
        <v>151</v>
      </c>
      <c r="U5" s="105">
        <f t="shared" si="7"/>
        <v>152</v>
      </c>
      <c r="V5" s="105" t="str">
        <f t="shared" si="1"/>
        <v>98</v>
      </c>
      <c r="Z5" s="54" t="str">
        <f>DEC2HEX(F3,2)</f>
        <v>1F</v>
      </c>
    </row>
    <row r="6" spans="1:32">
      <c r="A6" s="66" t="str">
        <f t="shared" si="0"/>
        <v>0018</v>
      </c>
      <c r="B6" s="67">
        <v>8</v>
      </c>
      <c r="C6" s="66">
        <v>24</v>
      </c>
      <c r="D6" s="68">
        <f>Advance_curve!J33</f>
        <v>86</v>
      </c>
      <c r="E6" s="68">
        <f>Advance_curve!J34</f>
        <v>88</v>
      </c>
      <c r="F6" s="68">
        <f>Advance_curve!J35</f>
        <v>91</v>
      </c>
      <c r="G6" s="68">
        <f>Advance_curve!J36</f>
        <v>93</v>
      </c>
      <c r="H6" s="189">
        <f>Advance_curve!J37</f>
        <v>96</v>
      </c>
      <c r="I6" s="68">
        <f>Advance_curve!J38</f>
        <v>98</v>
      </c>
      <c r="J6" s="68">
        <f>Advance_curve!J39</f>
        <v>101</v>
      </c>
      <c r="K6" s="68">
        <f>Advance_curve!J40</f>
        <v>103</v>
      </c>
      <c r="M6" s="54" t="str">
        <f t="shared" si="8"/>
        <v>:0800180056585B5D60626567EC</v>
      </c>
      <c r="O6" s="54" t="str">
        <f t="shared" si="2"/>
        <v>56 58 5B 5D   60 62 65 67</v>
      </c>
      <c r="Q6" s="105">
        <f t="shared" si="3"/>
        <v>788</v>
      </c>
      <c r="R6" s="105" t="str">
        <f t="shared" si="4"/>
        <v>314</v>
      </c>
      <c r="S6" s="105" t="str">
        <f t="shared" si="5"/>
        <v>14</v>
      </c>
      <c r="T6" s="105">
        <f t="shared" si="6"/>
        <v>235</v>
      </c>
      <c r="U6" s="105">
        <f t="shared" si="7"/>
        <v>236</v>
      </c>
      <c r="V6" s="105" t="str">
        <f t="shared" si="1"/>
        <v>EC</v>
      </c>
      <c r="Z6" s="54" t="str">
        <f>DEC2HEX(G3,2)</f>
        <v>21</v>
      </c>
    </row>
    <row r="7" spans="1:32">
      <c r="A7" s="66" t="str">
        <f t="shared" si="0"/>
        <v>0020</v>
      </c>
      <c r="B7" s="67">
        <v>8</v>
      </c>
      <c r="C7" s="66">
        <v>32</v>
      </c>
      <c r="D7" s="68">
        <f>Advance_curve!J41</f>
        <v>106</v>
      </c>
      <c r="E7" s="68">
        <f>Advance_curve!J42</f>
        <v>109</v>
      </c>
      <c r="F7" s="68">
        <f>Advance_curve!J43</f>
        <v>111</v>
      </c>
      <c r="G7" s="68">
        <f>Advance_curve!J44</f>
        <v>114</v>
      </c>
      <c r="H7" s="189">
        <f>Advance_curve!J45</f>
        <v>116</v>
      </c>
      <c r="I7" s="68">
        <f>Advance_curve!J46</f>
        <v>119</v>
      </c>
      <c r="J7" s="68">
        <f>Advance_curve!J47</f>
        <v>121</v>
      </c>
      <c r="K7" s="68">
        <f>Advance_curve!J48</f>
        <v>124</v>
      </c>
      <c r="M7" s="54" t="str">
        <f t="shared" si="8"/>
        <v>:080020006A6D6F727477797C40</v>
      </c>
      <c r="O7" s="54" t="str">
        <f t="shared" si="2"/>
        <v>6A 6D 6F 72   74 77 79 7C</v>
      </c>
      <c r="Q7" s="105">
        <f t="shared" si="3"/>
        <v>960</v>
      </c>
      <c r="R7" s="105" t="str">
        <f t="shared" si="4"/>
        <v>3C0</v>
      </c>
      <c r="S7" s="105" t="str">
        <f t="shared" si="5"/>
        <v>C0</v>
      </c>
      <c r="T7" s="105">
        <f t="shared" si="6"/>
        <v>63</v>
      </c>
      <c r="U7" s="105">
        <f t="shared" si="7"/>
        <v>64</v>
      </c>
      <c r="V7" s="105" t="str">
        <f t="shared" si="1"/>
        <v>40</v>
      </c>
      <c r="Z7" s="54" t="str">
        <f>DEC2HEX(H3,2)</f>
        <v>22</v>
      </c>
    </row>
    <row r="8" spans="1:32">
      <c r="A8" s="66" t="str">
        <f t="shared" si="0"/>
        <v>0028</v>
      </c>
      <c r="B8" s="67">
        <v>8</v>
      </c>
      <c r="C8" s="66">
        <v>40</v>
      </c>
      <c r="D8" s="68">
        <f>Advance_curve!J49</f>
        <v>127</v>
      </c>
      <c r="E8" s="68">
        <f>Advance_curve!J50</f>
        <v>129</v>
      </c>
      <c r="F8" s="68">
        <f>Advance_curve!J51</f>
        <v>132</v>
      </c>
      <c r="G8" s="68">
        <f>Advance_curve!J52</f>
        <v>134</v>
      </c>
      <c r="H8" s="189">
        <f>Advance_curve!J53</f>
        <v>137</v>
      </c>
      <c r="I8" s="68">
        <f>Advance_curve!J54</f>
        <v>139</v>
      </c>
      <c r="J8" s="68">
        <f>Advance_curve!J55</f>
        <v>142</v>
      </c>
      <c r="K8" s="68">
        <f>Advance_curve!J56</f>
        <v>144</v>
      </c>
      <c r="M8" s="54" t="str">
        <f t="shared" si="8"/>
        <v>:080028007F818486898B8E9094</v>
      </c>
      <c r="O8" s="54" t="str">
        <f t="shared" si="2"/>
        <v>7F 81 84 86   89 8B 8E 90</v>
      </c>
      <c r="Q8" s="105">
        <f t="shared" si="3"/>
        <v>1132</v>
      </c>
      <c r="R8" s="105" t="str">
        <f t="shared" si="4"/>
        <v>46C</v>
      </c>
      <c r="S8" s="105" t="str">
        <f t="shared" si="5"/>
        <v>6C</v>
      </c>
      <c r="T8" s="105">
        <f t="shared" si="6"/>
        <v>147</v>
      </c>
      <c r="U8" s="105">
        <f t="shared" si="7"/>
        <v>148</v>
      </c>
      <c r="V8" s="105" t="str">
        <f t="shared" si="1"/>
        <v>94</v>
      </c>
      <c r="Z8" s="54" t="str">
        <f>DEC2HEX(I3,2)</f>
        <v>25</v>
      </c>
    </row>
    <row r="9" spans="1:32">
      <c r="A9" s="66" t="str">
        <f t="shared" si="0"/>
        <v>0030</v>
      </c>
      <c r="B9" s="67">
        <v>8</v>
      </c>
      <c r="C9" s="66">
        <v>48</v>
      </c>
      <c r="D9" s="68">
        <f>Advance_curve!J57</f>
        <v>147</v>
      </c>
      <c r="E9" s="68">
        <f>Advance_curve!J58</f>
        <v>150</v>
      </c>
      <c r="F9" s="68">
        <f>Advance_curve!J59</f>
        <v>152</v>
      </c>
      <c r="G9" s="68">
        <f>Advance_curve!J60</f>
        <v>155</v>
      </c>
      <c r="H9" s="189">
        <f>Advance_curve!J61</f>
        <v>157</v>
      </c>
      <c r="I9" s="68">
        <f>Advance_curve!J62</f>
        <v>160</v>
      </c>
      <c r="J9" s="68">
        <f>Advance_curve!J63</f>
        <v>162</v>
      </c>
      <c r="K9" s="68">
        <f>Advance_curve!J64</f>
        <v>165</v>
      </c>
      <c r="M9" s="54" t="str">
        <f t="shared" si="8"/>
        <v>:080030009396989B9DA0A2A5E8</v>
      </c>
      <c r="O9" s="54" t="str">
        <f t="shared" si="2"/>
        <v>93 96 98 9B   9D A0 A2 A5</v>
      </c>
      <c r="Q9" s="105">
        <f t="shared" si="3"/>
        <v>1304</v>
      </c>
      <c r="R9" s="105" t="str">
        <f t="shared" si="4"/>
        <v>518</v>
      </c>
      <c r="S9" s="105" t="str">
        <f t="shared" si="5"/>
        <v>18</v>
      </c>
      <c r="T9" s="105">
        <f t="shared" si="6"/>
        <v>231</v>
      </c>
      <c r="U9" s="105">
        <f t="shared" si="7"/>
        <v>232</v>
      </c>
      <c r="V9" s="105" t="str">
        <f t="shared" si="1"/>
        <v>E8</v>
      </c>
      <c r="Z9" s="54" t="str">
        <f>DEC2HEX(J3,2)</f>
        <v>27</v>
      </c>
    </row>
    <row r="10" spans="1:32">
      <c r="A10" s="66" t="str">
        <f t="shared" si="0"/>
        <v>0038</v>
      </c>
      <c r="B10" s="67">
        <v>8</v>
      </c>
      <c r="C10" s="66">
        <v>56</v>
      </c>
      <c r="D10" s="68">
        <f>Advance_curve!J65</f>
        <v>167</v>
      </c>
      <c r="E10" s="68">
        <f>Advance_curve!J66</f>
        <v>170</v>
      </c>
      <c r="F10" s="68">
        <f>Advance_curve!J67</f>
        <v>173</v>
      </c>
      <c r="G10" s="68">
        <f>Advance_curve!J68</f>
        <v>175</v>
      </c>
      <c r="H10" s="189">
        <f>Advance_curve!J69</f>
        <v>178</v>
      </c>
      <c r="I10" s="68">
        <f>Advance_curve!J70</f>
        <v>180</v>
      </c>
      <c r="J10" s="68">
        <f>Advance_curve!J71</f>
        <v>183</v>
      </c>
      <c r="K10" s="68">
        <f>Advance_curve!J72</f>
        <v>185</v>
      </c>
      <c r="M10" s="54" t="str">
        <f t="shared" si="8"/>
        <v>:08003800A7AAADAFB2B4B7B93D</v>
      </c>
      <c r="O10" s="54" t="str">
        <f t="shared" si="2"/>
        <v>A7 AA AD AF   B2 B4 B7 B9</v>
      </c>
      <c r="Q10" s="105">
        <f t="shared" si="3"/>
        <v>1475</v>
      </c>
      <c r="R10" s="105" t="str">
        <f t="shared" si="4"/>
        <v>5C3</v>
      </c>
      <c r="S10" s="105" t="str">
        <f t="shared" si="5"/>
        <v>C3</v>
      </c>
      <c r="T10" s="105">
        <f t="shared" si="6"/>
        <v>60</v>
      </c>
      <c r="U10" s="105">
        <f t="shared" si="7"/>
        <v>61</v>
      </c>
      <c r="V10" s="105" t="str">
        <f t="shared" si="1"/>
        <v>3D</v>
      </c>
      <c r="Z10" s="54" t="str">
        <f>DEC2HEX(K3,2)</f>
        <v>2A</v>
      </c>
      <c r="AE10" s="41"/>
      <c r="AF10" s="47"/>
    </row>
    <row r="11" spans="1:32">
      <c r="A11" s="66" t="str">
        <f t="shared" si="0"/>
        <v>0040</v>
      </c>
      <c r="B11" s="67">
        <v>8</v>
      </c>
      <c r="C11" s="66">
        <v>64</v>
      </c>
      <c r="D11" s="68">
        <f>Advance_curve!J73</f>
        <v>188</v>
      </c>
      <c r="E11" s="68">
        <f>Advance_curve!J74</f>
        <v>191</v>
      </c>
      <c r="F11" s="68">
        <f>Advance_curve!J75</f>
        <v>193</v>
      </c>
      <c r="G11" s="68">
        <f>Advance_curve!J76</f>
        <v>196</v>
      </c>
      <c r="H11" s="189">
        <f>Advance_curve!J77</f>
        <v>198</v>
      </c>
      <c r="I11" s="68">
        <f>Advance_curve!J78</f>
        <v>201</v>
      </c>
      <c r="J11" s="68">
        <f>Advance_curve!J79</f>
        <v>203</v>
      </c>
      <c r="K11" s="68">
        <f>Advance_curve!J80</f>
        <v>206</v>
      </c>
      <c r="M11" s="54" t="str">
        <f t="shared" si="8"/>
        <v>:08004000BCBFC1C4C6C9CBCE90</v>
      </c>
      <c r="O11" s="54" t="str">
        <f t="shared" si="2"/>
        <v>BC BF C1 C4   C6 C9 CB CE</v>
      </c>
      <c r="Q11" s="105">
        <f t="shared" si="3"/>
        <v>1648</v>
      </c>
      <c r="R11" s="105" t="str">
        <f t="shared" si="4"/>
        <v>670</v>
      </c>
      <c r="S11" s="105" t="str">
        <f t="shared" si="5"/>
        <v>70</v>
      </c>
      <c r="T11" s="105">
        <f t="shared" si="6"/>
        <v>143</v>
      </c>
      <c r="U11" s="105">
        <f t="shared" si="7"/>
        <v>144</v>
      </c>
      <c r="V11" s="105" t="str">
        <f t="shared" si="1"/>
        <v>90</v>
      </c>
      <c r="Z11" s="54" t="str">
        <f>DEC2HEX(D4,2)</f>
        <v>2D</v>
      </c>
      <c r="AE11" s="41"/>
      <c r="AF11" s="47"/>
    </row>
    <row r="12" spans="1:32">
      <c r="A12" s="66" t="str">
        <f t="shared" si="0"/>
        <v>0048</v>
      </c>
      <c r="B12" s="67">
        <v>8</v>
      </c>
      <c r="C12" s="66">
        <v>72</v>
      </c>
      <c r="D12" s="68">
        <f>Advance_curve!J81</f>
        <v>209</v>
      </c>
      <c r="E12" s="68">
        <f>Advance_curve!J82</f>
        <v>211</v>
      </c>
      <c r="F12" s="68">
        <f>Advance_curve!J83</f>
        <v>214</v>
      </c>
      <c r="G12" s="68">
        <f>Advance_curve!J84</f>
        <v>216</v>
      </c>
      <c r="H12" s="189">
        <f>Advance_curve!J85</f>
        <v>219</v>
      </c>
      <c r="I12" s="68">
        <f>Advance_curve!J86</f>
        <v>221</v>
      </c>
      <c r="J12" s="68">
        <f>Advance_curve!J87</f>
        <v>224</v>
      </c>
      <c r="K12" s="68">
        <f>Advance_curve!J88</f>
        <v>226</v>
      </c>
      <c r="M12" s="54" t="str">
        <f t="shared" si="8"/>
        <v>:08004800D1D3D6D8DBDDE0E2E4</v>
      </c>
      <c r="O12" s="54" t="str">
        <f t="shared" si="2"/>
        <v>D1 D3 D6 D8   DB DD E0 E2</v>
      </c>
      <c r="Q12" s="105">
        <f t="shared" si="3"/>
        <v>1820</v>
      </c>
      <c r="R12" s="105" t="str">
        <f t="shared" si="4"/>
        <v>71C</v>
      </c>
      <c r="S12" s="105" t="str">
        <f t="shared" si="5"/>
        <v>1C</v>
      </c>
      <c r="T12" s="105">
        <f t="shared" si="6"/>
        <v>227</v>
      </c>
      <c r="U12" s="105">
        <f t="shared" si="7"/>
        <v>228</v>
      </c>
      <c r="V12" s="105" t="str">
        <f>IF(U12=256,"00",DEC2HEX(U12,2))</f>
        <v>E4</v>
      </c>
      <c r="Z12" s="54" t="str">
        <f>DEC2HEX(E4,2)</f>
        <v>2F</v>
      </c>
      <c r="AE12" s="41"/>
      <c r="AF12" s="47"/>
    </row>
    <row r="13" spans="1:32">
      <c r="A13" s="66" t="str">
        <f t="shared" ref="A13:A14" si="9">DEC2HEX(C13,4)</f>
        <v>0050</v>
      </c>
      <c r="B13" s="67">
        <v>8</v>
      </c>
      <c r="C13" s="66">
        <v>80</v>
      </c>
      <c r="D13" s="68">
        <f>Advance_curve!J89</f>
        <v>229</v>
      </c>
      <c r="E13" s="68">
        <f>Advance_curve!J90</f>
        <v>232</v>
      </c>
      <c r="F13" s="68">
        <f>Advance_curve!J91</f>
        <v>234</v>
      </c>
      <c r="G13" s="68">
        <f>Advance_curve!J92</f>
        <v>237</v>
      </c>
      <c r="H13" s="189">
        <f>Advance_curve!J93</f>
        <v>239</v>
      </c>
      <c r="I13" s="68">
        <f>Advance_curve!J94</f>
        <v>242</v>
      </c>
      <c r="J13" s="68">
        <f>Advance_curve!J95</f>
        <v>244</v>
      </c>
      <c r="K13" s="68">
        <f>Advance_curve!J96</f>
        <v>247</v>
      </c>
      <c r="M13" s="54" t="str">
        <f t="shared" si="8"/>
        <v>:08005000E5E8EAEDEFF2F4F738</v>
      </c>
      <c r="O13" s="54" t="str">
        <f t="shared" si="2"/>
        <v>E5 E8 EA ED   EF F2 F4 F7</v>
      </c>
      <c r="Q13" s="105">
        <f t="shared" si="3"/>
        <v>1992</v>
      </c>
      <c r="R13" s="105" t="str">
        <f t="shared" si="4"/>
        <v>7C8</v>
      </c>
      <c r="S13" s="105" t="str">
        <f t="shared" si="5"/>
        <v>C8</v>
      </c>
      <c r="T13" s="105">
        <f t="shared" si="6"/>
        <v>55</v>
      </c>
      <c r="U13" s="105">
        <f t="shared" si="7"/>
        <v>56</v>
      </c>
      <c r="V13" s="105" t="str">
        <f t="shared" ref="V13:V18" si="10">IF(U13=256,"00",DEC2HEX(U13,2))</f>
        <v>38</v>
      </c>
      <c r="Z13" s="54" t="str">
        <f>DEC2HEX(F4,2)</f>
        <v>32</v>
      </c>
      <c r="AE13" s="41"/>
      <c r="AF13" s="47"/>
    </row>
    <row r="14" spans="1:32">
      <c r="A14" s="66" t="str">
        <f t="shared" si="9"/>
        <v>0058</v>
      </c>
      <c r="B14" s="67">
        <v>8</v>
      </c>
      <c r="C14" s="66">
        <v>88</v>
      </c>
      <c r="D14" s="116">
        <f>Advance_curve!J97</f>
        <v>250</v>
      </c>
      <c r="E14" s="68">
        <f>Advance_curve!J98</f>
        <v>252</v>
      </c>
      <c r="F14" s="68">
        <f>Advance_curve!J99</f>
        <v>255</v>
      </c>
      <c r="G14" s="68">
        <f>Advance_curve!J100</f>
        <v>255</v>
      </c>
      <c r="H14" s="189">
        <f>Advance_curve!J101</f>
        <v>255</v>
      </c>
      <c r="I14" s="68">
        <f>Advance_curve!J102</f>
        <v>255</v>
      </c>
      <c r="J14" s="68">
        <f>Advance_curve!J103</f>
        <v>255</v>
      </c>
      <c r="K14" s="69">
        <v>0</v>
      </c>
      <c r="M14" s="54" t="str">
        <f t="shared" si="8"/>
        <v>:08005800FAFCFFFFFFFFFF00AF</v>
      </c>
      <c r="O14" s="54" t="str">
        <f t="shared" si="2"/>
        <v>FA FC FF FF   FF FF FF 00</v>
      </c>
      <c r="Q14" s="105">
        <f t="shared" si="3"/>
        <v>1873</v>
      </c>
      <c r="R14" s="105" t="str">
        <f t="shared" si="4"/>
        <v>751</v>
      </c>
      <c r="S14" s="105" t="str">
        <f t="shared" si="5"/>
        <v>51</v>
      </c>
      <c r="T14" s="105">
        <f t="shared" si="6"/>
        <v>174</v>
      </c>
      <c r="U14" s="105">
        <f t="shared" si="7"/>
        <v>175</v>
      </c>
      <c r="V14" s="105" t="str">
        <f t="shared" si="10"/>
        <v>AF</v>
      </c>
      <c r="Z14" s="54" t="str">
        <f>DEC2HEX(G4,2)</f>
        <v>34</v>
      </c>
      <c r="AE14" s="41"/>
      <c r="AF14" s="47"/>
    </row>
    <row r="15" spans="1:32">
      <c r="A15" s="66" t="str">
        <f t="shared" ref="A15:A18" si="11">DEC2HEX(C15,4)</f>
        <v>0060</v>
      </c>
      <c r="B15" s="67">
        <v>8</v>
      </c>
      <c r="C15" s="66">
        <v>96</v>
      </c>
      <c r="D15" s="69">
        <v>0</v>
      </c>
      <c r="E15" s="69">
        <v>0</v>
      </c>
      <c r="F15" s="69">
        <v>0</v>
      </c>
      <c r="G15" s="69">
        <v>0</v>
      </c>
      <c r="H15" s="190">
        <v>0</v>
      </c>
      <c r="I15" s="69">
        <v>0</v>
      </c>
      <c r="J15" s="69">
        <v>0</v>
      </c>
      <c r="K15" s="69">
        <v>0</v>
      </c>
      <c r="M15" s="54" t="str">
        <f t="shared" si="8"/>
        <v>:08006000000000000000000098</v>
      </c>
      <c r="O15" s="54" t="str">
        <f t="shared" si="2"/>
        <v>00 00 00 00   00 00 00 00</v>
      </c>
      <c r="P15" s="44"/>
      <c r="Q15" s="105">
        <f t="shared" si="3"/>
        <v>104</v>
      </c>
      <c r="R15" s="105" t="str">
        <f t="shared" si="4"/>
        <v>68</v>
      </c>
      <c r="S15" s="105" t="str">
        <f t="shared" si="5"/>
        <v>68</v>
      </c>
      <c r="T15" s="105">
        <f t="shared" si="6"/>
        <v>151</v>
      </c>
      <c r="U15" s="105">
        <f t="shared" si="7"/>
        <v>152</v>
      </c>
      <c r="V15" s="105" t="str">
        <f t="shared" si="10"/>
        <v>98</v>
      </c>
      <c r="Z15" s="54" t="str">
        <f>DEC2HEX(H4,2)</f>
        <v>37</v>
      </c>
      <c r="AE15" s="41"/>
      <c r="AF15" s="47"/>
    </row>
    <row r="16" spans="1:32">
      <c r="A16" s="66" t="str">
        <f t="shared" si="11"/>
        <v>0068</v>
      </c>
      <c r="B16" s="67">
        <v>8</v>
      </c>
      <c r="C16" s="66">
        <v>104</v>
      </c>
      <c r="D16" s="69">
        <v>0</v>
      </c>
      <c r="E16" s="69">
        <v>0</v>
      </c>
      <c r="F16" s="69">
        <v>0</v>
      </c>
      <c r="G16" s="69">
        <v>0</v>
      </c>
      <c r="H16" s="190">
        <v>0</v>
      </c>
      <c r="I16" s="69">
        <v>0</v>
      </c>
      <c r="J16" s="69">
        <v>0</v>
      </c>
      <c r="K16" s="69">
        <v>0</v>
      </c>
      <c r="M16" s="54" t="str">
        <f t="shared" si="8"/>
        <v>:08006800000000000000000090</v>
      </c>
      <c r="O16" s="54" t="str">
        <f t="shared" si="2"/>
        <v>00 00 00 00   00 00 00 00</v>
      </c>
      <c r="P16" s="44"/>
      <c r="Q16" s="105">
        <f t="shared" ref="Q16:Q18" si="12">SUM(B16:K16)</f>
        <v>112</v>
      </c>
      <c r="R16" s="105" t="str">
        <f t="shared" si="4"/>
        <v>70</v>
      </c>
      <c r="S16" s="105" t="str">
        <f t="shared" si="5"/>
        <v>70</v>
      </c>
      <c r="T16" s="105">
        <f t="shared" si="6"/>
        <v>143</v>
      </c>
      <c r="U16" s="105">
        <f t="shared" si="7"/>
        <v>144</v>
      </c>
      <c r="V16" s="105" t="str">
        <f t="shared" si="10"/>
        <v>90</v>
      </c>
      <c r="Z16" s="54" t="str">
        <f>DEC2HEX(I4,2)</f>
        <v>39</v>
      </c>
      <c r="AE16" s="41"/>
      <c r="AF16" s="47"/>
    </row>
    <row r="17" spans="1:32">
      <c r="A17" s="66" t="str">
        <f t="shared" si="11"/>
        <v>0070</v>
      </c>
      <c r="B17" s="67">
        <v>8</v>
      </c>
      <c r="C17" s="66">
        <v>112</v>
      </c>
      <c r="D17" s="118">
        <f>Advance_curve!I1</f>
        <v>79</v>
      </c>
      <c r="E17" s="118">
        <f>Advance_curve!J1</f>
        <v>20</v>
      </c>
      <c r="F17" s="118">
        <f>Advance_curve!K1</f>
        <v>2</v>
      </c>
      <c r="G17" s="69">
        <f>Advance_curve!F5</f>
        <v>50</v>
      </c>
      <c r="H17" s="190">
        <v>20</v>
      </c>
      <c r="I17" s="69">
        <v>20</v>
      </c>
      <c r="J17" s="69">
        <v>20</v>
      </c>
      <c r="K17" s="118">
        <f>Advance_curve!$M$35</f>
        <v>1</v>
      </c>
      <c r="M17" s="54" t="str">
        <f>":"&amp;DEC2HEX(B17,2)&amp;DEC2HEX(C17,4)&amp;"00"&amp;DEC2HEX(D17,2)&amp;DEC2HEX(E17,2)&amp;DEC2HEX(F17,2)&amp;DEC2HEX(G17,2)&amp;DEC2HEX(H17,2)&amp;DEC2HEX(I17,2)&amp;DEC2HEX(J17,2)&amp;DEC2HEX(K17,2)&amp;V17</f>
        <v>:080070004F14023214141401B4</v>
      </c>
      <c r="O17" s="54" t="str">
        <f>DEC2HEX(D17,2)&amp;" "&amp;DEC2HEX(E17,2)&amp;" "&amp;DEC2HEX(F17,2)&amp;" "&amp;DEC2HEX(G17,2)&amp;"   "&amp;DEC2HEX(H17,2)&amp;" "&amp;DEC2HEX(I17,2)&amp;" "&amp;DEC2HEX(J17,2)&amp;" "&amp;DEC2HEX(K17,2)</f>
        <v>4F 14 02 32   14 14 14 01</v>
      </c>
      <c r="Q17" s="105">
        <f t="shared" si="12"/>
        <v>332</v>
      </c>
      <c r="R17" s="105" t="str">
        <f t="shared" si="4"/>
        <v>14C</v>
      </c>
      <c r="S17" s="105" t="str">
        <f t="shared" si="5"/>
        <v>4C</v>
      </c>
      <c r="T17" s="105">
        <f t="shared" si="6"/>
        <v>179</v>
      </c>
      <c r="U17" s="105">
        <f t="shared" si="7"/>
        <v>180</v>
      </c>
      <c r="V17" s="105" t="str">
        <f t="shared" si="10"/>
        <v>B4</v>
      </c>
      <c r="Z17" s="54" t="str">
        <f>DEC2HEX(J4,2)</f>
        <v>3C</v>
      </c>
      <c r="AE17" s="41"/>
      <c r="AF17" s="47"/>
    </row>
    <row r="18" spans="1:32">
      <c r="A18" s="66" t="str">
        <f t="shared" si="11"/>
        <v>0078</v>
      </c>
      <c r="B18" s="67">
        <v>8</v>
      </c>
      <c r="C18" s="66">
        <v>120</v>
      </c>
      <c r="D18" s="204">
        <f>VeryLowRPM!C9</f>
        <v>18.204444444444444</v>
      </c>
      <c r="E18" s="187">
        <f>INT((1/Advance_curve!$M$30)*(60*1000000)/Advance_curve!$M$34)/256</f>
        <v>12</v>
      </c>
      <c r="F18" s="155">
        <f>IF(Advance_curve!M32="Auto",99,Advance_curve!M32/ 500)</f>
        <v>99</v>
      </c>
      <c r="G18" s="154">
        <f>Advance_curve!M30</f>
        <v>2</v>
      </c>
      <c r="H18" s="191">
        <f>advance_at_lowRPM!I2</f>
        <v>15</v>
      </c>
      <c r="I18" s="72">
        <f>Advance_curve!J5</f>
        <v>20</v>
      </c>
      <c r="J18" s="70">
        <f>Advance_curve!$B$9</f>
        <v>11</v>
      </c>
      <c r="K18" s="71">
        <f>Advance_curve!$B$103</f>
        <v>105</v>
      </c>
      <c r="M18" s="54" t="str">
        <f>":"&amp;DEC2HEX(B18,2)&amp;DEC2HEX(C18,4)&amp;"00"&amp;DEC2HEX(D18,2)&amp;DEC2HEX(E18,2)&amp;DEC2HEX(F18,2)&amp;DEC2HEX(G18,2)&amp;DEC2HEX(H18,2)&amp;DEC2HEX(I18,2)&amp;DEC2HEX(J18,2)&amp;DEC2HEX(K18,2)&amp;V18</f>
        <v>:08007800120C63020F140B6966</v>
      </c>
      <c r="O18" s="55" t="str">
        <f>DEC2HEX(D18,2)&amp;" "&amp;DEC2HEX(E18,2)&amp;" "&amp;DEC2HEX(F18,2)&amp;" "&amp;DEC2HEX(G18,2)&amp;"   "&amp;DEC2HEX(H18,2)&amp;" "&amp;DEC2HEX(I18,2)&amp;" "&amp;DEC2HEX(J18,2)&amp;" "&amp;DEC2HEX(K18,2)</f>
        <v>12 0C 63 02   0F 14 0B 69</v>
      </c>
      <c r="Q18" s="105">
        <f t="shared" si="12"/>
        <v>410.20444444444445</v>
      </c>
      <c r="R18" s="105" t="str">
        <f t="shared" si="4"/>
        <v>19A</v>
      </c>
      <c r="S18" s="105" t="str">
        <f t="shared" si="5"/>
        <v>9A</v>
      </c>
      <c r="T18" s="105">
        <f t="shared" si="6"/>
        <v>101</v>
      </c>
      <c r="U18" s="105">
        <f t="shared" si="7"/>
        <v>102</v>
      </c>
      <c r="V18" s="105" t="str">
        <f t="shared" si="10"/>
        <v>66</v>
      </c>
      <c r="Z18" s="54" t="str">
        <f>DEC2HEX(K4,2)</f>
        <v>3F</v>
      </c>
      <c r="AE18" s="41"/>
      <c r="AF18" s="47"/>
    </row>
    <row r="19" spans="1:32">
      <c r="B19" s="248"/>
      <c r="C19" s="248"/>
      <c r="D19" s="46" t="s">
        <v>40</v>
      </c>
      <c r="M19" s="55" t="s">
        <v>41</v>
      </c>
      <c r="Q19" s="105"/>
      <c r="R19" s="105"/>
      <c r="S19" s="105"/>
      <c r="T19" s="105"/>
      <c r="U19" s="105"/>
      <c r="V19" s="105"/>
      <c r="Z19" s="54" t="str">
        <f>DEC2HEX(D5,2)</f>
        <v>41</v>
      </c>
    </row>
    <row r="20" spans="1:32">
      <c r="Z20" s="54" t="str">
        <f>DEC2HEX(E5,2)</f>
        <v>44</v>
      </c>
    </row>
    <row r="21" spans="1:32">
      <c r="M21" s="44" t="s">
        <v>107</v>
      </c>
      <c r="Z21" s="54" t="str">
        <f>DEC2HEX(F5,2)</f>
        <v>46</v>
      </c>
      <c r="AA21" s="45"/>
    </row>
    <row r="22" spans="1:32">
      <c r="M22" s="44" t="s">
        <v>108</v>
      </c>
      <c r="Z22" s="54" t="str">
        <f>DEC2HEX(G5,2)</f>
        <v>49</v>
      </c>
      <c r="AA22" s="45"/>
    </row>
    <row r="23" spans="1:32">
      <c r="M23" s="44" t="s">
        <v>109</v>
      </c>
      <c r="Z23" s="54" t="str">
        <f>DEC2HEX(H5,2)</f>
        <v>4B</v>
      </c>
      <c r="AA23" s="45"/>
    </row>
    <row r="24" spans="1:32">
      <c r="M24" s="44" t="s">
        <v>111</v>
      </c>
      <c r="Z24" s="54" t="str">
        <f>DEC2HEX(I5,2)</f>
        <v>4E</v>
      </c>
    </row>
    <row r="25" spans="1:32">
      <c r="M25" s="44" t="s">
        <v>110</v>
      </c>
      <c r="Z25" s="54" t="str">
        <f>DEC2HEX(J5,2)</f>
        <v>50</v>
      </c>
    </row>
    <row r="26" spans="1:32">
      <c r="Z26" s="54" t="str">
        <f>DEC2HEX(K5,2)</f>
        <v>53</v>
      </c>
    </row>
    <row r="27" spans="1:32">
      <c r="M27" s="44" t="s">
        <v>44</v>
      </c>
      <c r="N27"/>
      <c r="Z27" s="54" t="str">
        <f>DEC2HEX(D6,2)</f>
        <v>56</v>
      </c>
    </row>
    <row r="28" spans="1:32">
      <c r="M28" s="48" t="s">
        <v>121</v>
      </c>
      <c r="N28"/>
      <c r="Z28" s="54" t="str">
        <f>DEC2HEX(E6,2)</f>
        <v>58</v>
      </c>
    </row>
    <row r="29" spans="1:32">
      <c r="M29" s="48" t="s">
        <v>106</v>
      </c>
      <c r="N29"/>
      <c r="Z29" s="54" t="str">
        <f>DEC2HEX(F6,2)</f>
        <v>5B</v>
      </c>
    </row>
    <row r="30" spans="1:32">
      <c r="M30" s="48" t="s">
        <v>163</v>
      </c>
      <c r="Z30" s="54" t="str">
        <f>DEC2HEX(G6,2)</f>
        <v>5D</v>
      </c>
    </row>
    <row r="31" spans="1:32">
      <c r="M31" s="44" t="s">
        <v>49</v>
      </c>
      <c r="Z31" s="54" t="str">
        <f>DEC2HEX(H6,2)</f>
        <v>60</v>
      </c>
    </row>
    <row r="32" spans="1:32">
      <c r="Z32" s="54" t="str">
        <f>DEC2HEX(I6,2)</f>
        <v>62</v>
      </c>
    </row>
    <row r="33" spans="13:26">
      <c r="Z33" s="54" t="str">
        <f>DEC2HEX(J6,2)</f>
        <v>65</v>
      </c>
    </row>
    <row r="34" spans="13:26">
      <c r="M34" s="114" t="s">
        <v>122</v>
      </c>
      <c r="Z34" s="54" t="str">
        <f>DEC2HEX(K6,2)</f>
        <v>67</v>
      </c>
    </row>
    <row r="35" spans="13:26">
      <c r="M35" t="s">
        <v>104</v>
      </c>
      <c r="Z35" s="54" t="str">
        <f>DEC2HEX(D7,2)</f>
        <v>6A</v>
      </c>
    </row>
    <row r="36" spans="13:26">
      <c r="M36"/>
      <c r="Z36" s="54" t="str">
        <f>DEC2HEX(E7,2)</f>
        <v>6D</v>
      </c>
    </row>
    <row r="37" spans="13:26">
      <c r="M37" s="114" t="s">
        <v>123</v>
      </c>
      <c r="Z37" s="54" t="str">
        <f>DEC2HEX(F7,2)</f>
        <v>6F</v>
      </c>
    </row>
    <row r="38" spans="13:26">
      <c r="M38" t="s">
        <v>105</v>
      </c>
      <c r="Z38" s="54" t="str">
        <f>DEC2HEX(G7,2)</f>
        <v>72</v>
      </c>
    </row>
    <row r="39" spans="13:26">
      <c r="Z39" s="54" t="str">
        <f>DEC2HEX(H7,2)</f>
        <v>74</v>
      </c>
    </row>
    <row r="40" spans="13:26">
      <c r="Z40" s="54" t="str">
        <f>DEC2HEX(I7,2)</f>
        <v>77</v>
      </c>
    </row>
    <row r="41" spans="13:26">
      <c r="Z41" s="54" t="str">
        <f>DEC2HEX(J7,2)</f>
        <v>79</v>
      </c>
    </row>
    <row r="42" spans="13:26">
      <c r="Z42" s="54" t="str">
        <f>DEC2HEX(K7,2)</f>
        <v>7C</v>
      </c>
    </row>
    <row r="43" spans="13:26">
      <c r="Z43" s="54" t="str">
        <f>DEC2HEX(D8,2)</f>
        <v>7F</v>
      </c>
    </row>
    <row r="44" spans="13:26">
      <c r="Z44" s="54" t="str">
        <f>DEC2HEX(E8,2)</f>
        <v>81</v>
      </c>
    </row>
    <row r="45" spans="13:26">
      <c r="Z45" s="54" t="str">
        <f>DEC2HEX(F8,2)</f>
        <v>84</v>
      </c>
    </row>
    <row r="46" spans="13:26">
      <c r="Z46" s="54" t="str">
        <f>DEC2HEX(G8,2)</f>
        <v>86</v>
      </c>
    </row>
    <row r="47" spans="13:26">
      <c r="Z47" s="54" t="str">
        <f>DEC2HEX(H8,2)</f>
        <v>89</v>
      </c>
    </row>
    <row r="48" spans="13:26">
      <c r="Z48" s="54" t="str">
        <f>DEC2HEX(I8,2)</f>
        <v>8B</v>
      </c>
    </row>
    <row r="49" spans="26:26">
      <c r="Z49" s="54" t="str">
        <f>DEC2HEX(J8,2)</f>
        <v>8E</v>
      </c>
    </row>
    <row r="50" spans="26:26">
      <c r="Z50" s="54" t="str">
        <f>DEC2HEX(K8,2)</f>
        <v>90</v>
      </c>
    </row>
    <row r="51" spans="26:26">
      <c r="Z51" s="54" t="str">
        <f>DEC2HEX(D9,2)</f>
        <v>93</v>
      </c>
    </row>
    <row r="52" spans="26:26">
      <c r="Z52" s="54" t="str">
        <f>DEC2HEX(E9,2)</f>
        <v>96</v>
      </c>
    </row>
    <row r="53" spans="26:26">
      <c r="Z53" s="54" t="str">
        <f>DEC2HEX(F9,2)</f>
        <v>98</v>
      </c>
    </row>
    <row r="54" spans="26:26">
      <c r="Z54" s="54" t="str">
        <f>DEC2HEX(G9,2)</f>
        <v>9B</v>
      </c>
    </row>
    <row r="55" spans="26:26">
      <c r="Z55" s="54" t="str">
        <f>DEC2HEX(H9,2)</f>
        <v>9D</v>
      </c>
    </row>
    <row r="56" spans="26:26">
      <c r="Z56" s="54" t="str">
        <f>DEC2HEX(I9,2)</f>
        <v>A0</v>
      </c>
    </row>
    <row r="57" spans="26:26">
      <c r="Z57" s="54" t="str">
        <f>DEC2HEX(J9,2)</f>
        <v>A2</v>
      </c>
    </row>
    <row r="58" spans="26:26">
      <c r="Z58" s="54" t="str">
        <f>DEC2HEX(K9,2)</f>
        <v>A5</v>
      </c>
    </row>
    <row r="59" spans="26:26">
      <c r="Z59" s="54" t="str">
        <f>DEC2HEX(D10,2)</f>
        <v>A7</v>
      </c>
    </row>
    <row r="60" spans="26:26">
      <c r="Z60" s="54" t="str">
        <f>DEC2HEX(E10,2)</f>
        <v>AA</v>
      </c>
    </row>
    <row r="61" spans="26:26">
      <c r="Z61" s="54" t="str">
        <f>DEC2HEX(F10,2)</f>
        <v>AD</v>
      </c>
    </row>
    <row r="62" spans="26:26">
      <c r="Z62" s="54" t="str">
        <f>DEC2HEX(G10,2)</f>
        <v>AF</v>
      </c>
    </row>
    <row r="63" spans="26:26">
      <c r="Z63" s="54" t="str">
        <f>DEC2HEX(H10,2)</f>
        <v>B2</v>
      </c>
    </row>
    <row r="64" spans="26:26">
      <c r="Z64" s="54" t="str">
        <f>DEC2HEX(I10,2)</f>
        <v>B4</v>
      </c>
    </row>
    <row r="65" spans="26:26">
      <c r="Z65" s="54" t="str">
        <f>DEC2HEX(J10,2)</f>
        <v>B7</v>
      </c>
    </row>
    <row r="66" spans="26:26">
      <c r="Z66" s="54" t="str">
        <f>DEC2HEX(K10,2)</f>
        <v>B9</v>
      </c>
    </row>
    <row r="67" spans="26:26">
      <c r="Z67" s="54" t="str">
        <f>DEC2HEX(D11,2)</f>
        <v>BC</v>
      </c>
    </row>
    <row r="68" spans="26:26">
      <c r="Z68" s="54" t="str">
        <f>DEC2HEX(E11,2)</f>
        <v>BF</v>
      </c>
    </row>
    <row r="69" spans="26:26">
      <c r="Z69" s="54" t="str">
        <f>DEC2HEX(F11,2)</f>
        <v>C1</v>
      </c>
    </row>
    <row r="70" spans="26:26">
      <c r="Z70" s="54" t="str">
        <f>DEC2HEX(G11,2)</f>
        <v>C4</v>
      </c>
    </row>
    <row r="71" spans="26:26">
      <c r="Z71" s="54" t="str">
        <f>DEC2HEX(H11,2)</f>
        <v>C6</v>
      </c>
    </row>
    <row r="72" spans="26:26">
      <c r="Z72" s="54" t="str">
        <f>DEC2HEX(I11,2)</f>
        <v>C9</v>
      </c>
    </row>
    <row r="73" spans="26:26">
      <c r="Z73" s="54" t="str">
        <f>DEC2HEX(J11,2)</f>
        <v>CB</v>
      </c>
    </row>
    <row r="74" spans="26:26">
      <c r="Z74" s="54" t="str">
        <f>DEC2HEX(K11,2)</f>
        <v>CE</v>
      </c>
    </row>
    <row r="75" spans="26:26">
      <c r="Z75" s="54" t="str">
        <f>DEC2HEX(D12,2)</f>
        <v>D1</v>
      </c>
    </row>
    <row r="76" spans="26:26">
      <c r="Z76" s="54" t="str">
        <f>DEC2HEX(E12,2)</f>
        <v>D3</v>
      </c>
    </row>
    <row r="77" spans="26:26">
      <c r="Z77" s="54" t="str">
        <f>DEC2HEX(F12,2)</f>
        <v>D6</v>
      </c>
    </row>
    <row r="78" spans="26:26">
      <c r="Z78" s="54" t="str">
        <f>DEC2HEX(G12,2)</f>
        <v>D8</v>
      </c>
    </row>
    <row r="79" spans="26:26">
      <c r="Z79" s="54" t="str">
        <f>DEC2HEX(H12,2)</f>
        <v>DB</v>
      </c>
    </row>
    <row r="80" spans="26:26">
      <c r="Z80" s="54" t="str">
        <f>DEC2HEX(I12,2)</f>
        <v>DD</v>
      </c>
    </row>
    <row r="81" spans="26:26">
      <c r="Z81" s="54" t="str">
        <f>DEC2HEX(J12,2)</f>
        <v>E0</v>
      </c>
    </row>
    <row r="82" spans="26:26">
      <c r="Z82" s="54" t="str">
        <f>DEC2HEX(K12,2)</f>
        <v>E2</v>
      </c>
    </row>
    <row r="83" spans="26:26">
      <c r="Z83" s="54" t="str">
        <f>DEC2HEX(D13,2)</f>
        <v>E5</v>
      </c>
    </row>
    <row r="84" spans="26:26">
      <c r="Z84" s="54" t="str">
        <f>DEC2HEX(E13,2)</f>
        <v>E8</v>
      </c>
    </row>
    <row r="85" spans="26:26">
      <c r="Z85" s="54" t="str">
        <f>DEC2HEX(F13,2)</f>
        <v>EA</v>
      </c>
    </row>
    <row r="86" spans="26:26">
      <c r="Z86" s="54" t="str">
        <f>DEC2HEX(G13,2)</f>
        <v>ED</v>
      </c>
    </row>
    <row r="87" spans="26:26">
      <c r="Z87" s="54" t="str">
        <f>DEC2HEX(H13,2)</f>
        <v>EF</v>
      </c>
    </row>
    <row r="88" spans="26:26">
      <c r="Z88" s="54" t="str">
        <f>DEC2HEX(I13,2)</f>
        <v>F2</v>
      </c>
    </row>
    <row r="89" spans="26:26">
      <c r="Z89" s="54" t="str">
        <f>DEC2HEX(J13,2)</f>
        <v>F4</v>
      </c>
    </row>
    <row r="90" spans="26:26">
      <c r="Z90" s="54" t="str">
        <f>DEC2HEX(K13,2)</f>
        <v>F7</v>
      </c>
    </row>
    <row r="91" spans="26:26">
      <c r="Z91" s="54" t="str">
        <f>DEC2HEX(D14,2)</f>
        <v>FA</v>
      </c>
    </row>
    <row r="92" spans="26:26">
      <c r="Z92" s="54" t="str">
        <f>DEC2HEX(E14,2)</f>
        <v>FC</v>
      </c>
    </row>
    <row r="93" spans="26:26">
      <c r="Z93" s="54" t="str">
        <f>DEC2HEX(F14,2)</f>
        <v>FF</v>
      </c>
    </row>
    <row r="94" spans="26:26">
      <c r="Z94" s="54" t="str">
        <f>DEC2HEX(G14,2)</f>
        <v>FF</v>
      </c>
    </row>
    <row r="95" spans="26:26">
      <c r="Z95" s="54" t="str">
        <f>DEC2HEX(H14,2)</f>
        <v>FF</v>
      </c>
    </row>
    <row r="96" spans="26:26">
      <c r="Z96" s="54" t="str">
        <f>DEC2HEX(I14,2)</f>
        <v>FF</v>
      </c>
    </row>
    <row r="97" spans="26:26">
      <c r="Z97" s="54" t="str">
        <f>DEC2HEX(J14,2)</f>
        <v>FF</v>
      </c>
    </row>
    <row r="98" spans="26:26">
      <c r="Z98" s="54" t="str">
        <f>DEC2HEX(K14,2)</f>
        <v>00</v>
      </c>
    </row>
    <row r="99" spans="26:26">
      <c r="Z99" s="54" t="str">
        <f>DEC2HEX(D15,2)</f>
        <v>00</v>
      </c>
    </row>
    <row r="100" spans="26:26">
      <c r="Z100" s="54" t="str">
        <f>DEC2HEX(E15,2)</f>
        <v>00</v>
      </c>
    </row>
    <row r="101" spans="26:26">
      <c r="Z101" s="54" t="str">
        <f>DEC2HEX(F15,2)</f>
        <v>00</v>
      </c>
    </row>
    <row r="102" spans="26:26">
      <c r="Z102" s="54" t="str">
        <f>DEC2HEX(G15,2)</f>
        <v>00</v>
      </c>
    </row>
    <row r="103" spans="26:26">
      <c r="Z103" s="54" t="str">
        <f>DEC2HEX(H15,2)</f>
        <v>00</v>
      </c>
    </row>
    <row r="104" spans="26:26">
      <c r="Z104" s="54" t="str">
        <f>DEC2HEX(I15,2)</f>
        <v>00</v>
      </c>
    </row>
    <row r="105" spans="26:26">
      <c r="Z105" s="54" t="str">
        <f>DEC2HEX(J15,2)</f>
        <v>00</v>
      </c>
    </row>
    <row r="106" spans="26:26">
      <c r="Z106" s="54" t="str">
        <f>DEC2HEX(K15,2)</f>
        <v>00</v>
      </c>
    </row>
    <row r="107" spans="26:26">
      <c r="Z107" s="54" t="str">
        <f>DEC2HEX(D16,2)</f>
        <v>00</v>
      </c>
    </row>
    <row r="108" spans="26:26">
      <c r="Z108" s="54" t="str">
        <f>DEC2HEX(E16,2)</f>
        <v>00</v>
      </c>
    </row>
    <row r="109" spans="26:26">
      <c r="Z109" s="54" t="str">
        <f>DEC2HEX(F16,2)</f>
        <v>00</v>
      </c>
    </row>
    <row r="110" spans="26:26">
      <c r="Z110" s="54" t="str">
        <f>DEC2HEX(G16,2)</f>
        <v>00</v>
      </c>
    </row>
    <row r="111" spans="26:26">
      <c r="Z111" s="54" t="str">
        <f>DEC2HEX(H16,2)</f>
        <v>00</v>
      </c>
    </row>
    <row r="112" spans="26:26">
      <c r="Z112" s="54" t="str">
        <f>DEC2HEX(I16,2)</f>
        <v>00</v>
      </c>
    </row>
    <row r="113" spans="26:26">
      <c r="Z113" s="54" t="str">
        <f>DEC2HEX(J16,2)</f>
        <v>00</v>
      </c>
    </row>
    <row r="114" spans="26:26">
      <c r="Z114" s="54" t="str">
        <f>DEC2HEX(K16,2)</f>
        <v>00</v>
      </c>
    </row>
    <row r="115" spans="26:26">
      <c r="Z115" s="54" t="str">
        <f>DEC2HEX(D17,2)</f>
        <v>4F</v>
      </c>
    </row>
    <row r="116" spans="26:26">
      <c r="Z116" s="54" t="str">
        <f>DEC2HEX(E17,2)</f>
        <v>14</v>
      </c>
    </row>
    <row r="117" spans="26:26">
      <c r="Z117" s="54" t="str">
        <f>DEC2HEX(F17,2)</f>
        <v>02</v>
      </c>
    </row>
    <row r="118" spans="26:26">
      <c r="Z118" s="54" t="str">
        <f>DEC2HEX(G17,2)</f>
        <v>32</v>
      </c>
    </row>
    <row r="119" spans="26:26">
      <c r="Z119" s="54" t="str">
        <f>DEC2HEX(H17,2)</f>
        <v>14</v>
      </c>
    </row>
    <row r="120" spans="26:26">
      <c r="Z120" s="54" t="str">
        <f>DEC2HEX(I17,2)</f>
        <v>14</v>
      </c>
    </row>
    <row r="121" spans="26:26">
      <c r="Z121" s="54" t="str">
        <f>DEC2HEX(J17,2)</f>
        <v>14</v>
      </c>
    </row>
    <row r="122" spans="26:26">
      <c r="Z122" s="54" t="str">
        <f>DEC2HEX(K17,2)</f>
        <v>01</v>
      </c>
    </row>
    <row r="123" spans="26:26">
      <c r="Z123" s="54" t="str">
        <f>DEC2HEX(D18,2)</f>
        <v>12</v>
      </c>
    </row>
    <row r="124" spans="26:26">
      <c r="Z124" s="54" t="str">
        <f>DEC2HEX(E18,2)</f>
        <v>0C</v>
      </c>
    </row>
    <row r="125" spans="26:26">
      <c r="Z125" s="54" t="str">
        <f>DEC2HEX(F18,2)</f>
        <v>63</v>
      </c>
    </row>
    <row r="126" spans="26:26">
      <c r="Z126" s="54" t="str">
        <f>DEC2HEX(G18,2)</f>
        <v>02</v>
      </c>
    </row>
    <row r="127" spans="26:26">
      <c r="Z127" s="54" t="str">
        <f>DEC2HEX(H18,2)</f>
        <v>0F</v>
      </c>
    </row>
    <row r="128" spans="26:26">
      <c r="Z128" s="54" t="str">
        <f>DEC2HEX(I18,2)</f>
        <v>14</v>
      </c>
    </row>
    <row r="129" spans="26:26">
      <c r="Z129" s="54" t="str">
        <f>DEC2HEX(J18,2)</f>
        <v>0B</v>
      </c>
    </row>
    <row r="130" spans="26:26">
      <c r="Z130" s="55" t="str">
        <f>DEC2HEX(K18,2)</f>
        <v>69</v>
      </c>
    </row>
  </sheetData>
  <sheetProtection sheet="1" objects="1" scenarios="1" selectLockedCells="1"/>
  <mergeCells count="1">
    <mergeCell ref="B19:C19"/>
  </mergeCells>
  <pageMargins left="0.7" right="0.7" top="0.75" bottom="0.75" header="0.3" footer="0.3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G50"/>
  <sheetViews>
    <sheetView workbookViewId="0">
      <selection activeCell="M18" sqref="M18"/>
    </sheetView>
  </sheetViews>
  <sheetFormatPr baseColWidth="10" defaultRowHeight="13.5"/>
  <cols>
    <col min="1" max="1" width="11.42578125" style="166"/>
    <col min="2" max="2" width="8.140625" style="166" bestFit="1" customWidth="1"/>
    <col min="3" max="4" width="8.140625" style="166" customWidth="1"/>
    <col min="5" max="5" width="8.85546875" style="166" customWidth="1"/>
    <col min="6" max="6" width="5.42578125" style="166" customWidth="1"/>
    <col min="7" max="9" width="5" style="166" customWidth="1"/>
    <col min="10" max="10" width="5.85546875" style="166" customWidth="1"/>
    <col min="11" max="12" width="5" style="166" customWidth="1"/>
    <col min="13" max="13" width="4" style="166" bestFit="1" customWidth="1"/>
    <col min="14" max="14" width="5.28515625" style="166" customWidth="1"/>
    <col min="15" max="15" width="50.7109375" style="41" customWidth="1"/>
    <col min="16" max="16" width="2.140625" style="41" bestFit="1" customWidth="1"/>
    <col min="17" max="17" width="30" style="166" bestFit="1" customWidth="1"/>
    <col min="18" max="18" width="7" style="166" customWidth="1"/>
    <col min="19" max="19" width="10.5703125" style="166" bestFit="1" customWidth="1"/>
    <col min="20" max="20" width="11.7109375" style="166" bestFit="1" customWidth="1"/>
    <col min="21" max="21" width="7" style="166" customWidth="1"/>
    <col min="22" max="22" width="8.85546875" style="166" customWidth="1"/>
    <col min="23" max="29" width="7" style="166" customWidth="1"/>
    <col min="30" max="30" width="7.7109375" style="166" customWidth="1"/>
    <col min="31" max="31" width="5.5703125" style="166" bestFit="1" customWidth="1"/>
    <col min="32" max="32" width="4.42578125" style="166" bestFit="1" customWidth="1"/>
    <col min="33" max="33" width="3.42578125" style="166" bestFit="1" customWidth="1"/>
    <col min="34" max="260" width="9.140625" style="166" customWidth="1"/>
    <col min="261" max="16384" width="11.42578125" style="166"/>
  </cols>
  <sheetData>
    <row r="1" spans="1:33">
      <c r="O1" s="49" t="s">
        <v>264</v>
      </c>
      <c r="Q1" s="49" t="s">
        <v>53</v>
      </c>
    </row>
    <row r="2" spans="1:33">
      <c r="Q2" s="49"/>
    </row>
    <row r="3" spans="1:33" ht="39">
      <c r="A3" s="63" t="s">
        <v>43</v>
      </c>
      <c r="B3" s="62" t="s">
        <v>265</v>
      </c>
      <c r="C3" s="62" t="s">
        <v>266</v>
      </c>
      <c r="D3" s="62" t="s">
        <v>267</v>
      </c>
      <c r="E3" s="64" t="s">
        <v>268</v>
      </c>
      <c r="F3" s="65" t="s">
        <v>31</v>
      </c>
      <c r="G3" s="65" t="s">
        <v>32</v>
      </c>
      <c r="H3" s="65" t="s">
        <v>33</v>
      </c>
      <c r="I3" s="65" t="s">
        <v>34</v>
      </c>
      <c r="J3" s="65" t="s">
        <v>35</v>
      </c>
      <c r="K3" s="65" t="s">
        <v>36</v>
      </c>
      <c r="L3" s="65" t="s">
        <v>37</v>
      </c>
      <c r="M3" s="65" t="s">
        <v>38</v>
      </c>
      <c r="O3" s="236" t="s">
        <v>39</v>
      </c>
      <c r="S3" s="117" t="s">
        <v>112</v>
      </c>
      <c r="T3" s="117" t="s">
        <v>113</v>
      </c>
      <c r="U3" s="117" t="s">
        <v>114</v>
      </c>
      <c r="V3" s="117" t="s">
        <v>115</v>
      </c>
      <c r="W3" s="117" t="s">
        <v>117</v>
      </c>
      <c r="X3" s="117" t="s">
        <v>116</v>
      </c>
      <c r="Y3" s="117" t="s">
        <v>269</v>
      </c>
    </row>
    <row r="4" spans="1:33">
      <c r="A4" s="237">
        <v>16</v>
      </c>
      <c r="B4" s="242">
        <v>42</v>
      </c>
      <c r="C4" s="66" t="str">
        <f>DEC2HEX(E4,2)</f>
        <v>00</v>
      </c>
      <c r="D4" s="66">
        <v>224</v>
      </c>
      <c r="E4" s="238">
        <v>0</v>
      </c>
      <c r="F4" s="68">
        <f>Advance_curve!J9</f>
        <v>27</v>
      </c>
      <c r="G4" s="68">
        <f>Advance_curve!J10</f>
        <v>29</v>
      </c>
      <c r="H4" s="68">
        <f>Advance_curve!J11</f>
        <v>31</v>
      </c>
      <c r="I4" s="68">
        <f>Advance_curve!J12</f>
        <v>33</v>
      </c>
      <c r="J4" s="189">
        <f>Advance_curve!J13</f>
        <v>34</v>
      </c>
      <c r="K4" s="68">
        <f>Advance_curve!J14</f>
        <v>37</v>
      </c>
      <c r="L4" s="68">
        <f>Advance_curve!J15</f>
        <v>39</v>
      </c>
      <c r="M4" s="68">
        <f>Advance_curve!J16</f>
        <v>42</v>
      </c>
      <c r="O4" s="54" t="str">
        <f>":"&amp;DEC2HEX(A4,2)&amp;B4&amp;C4&amp;"00"&amp;DEC2HEX(F4,2)&amp;"00"&amp;DEC2HEX(G4,2)&amp;"00"&amp;DEC2HEX(H4,2)&amp;"00"&amp;DEC2HEX(I4,2)&amp;"00"&amp;DEC2HEX(J4,2)&amp;"00"&amp;DEC2HEX(K4,2)&amp;"00"&amp;DEC2HEX(L4,2)&amp;"00"&amp;DEC2HEX(M4,2)&amp;"00"&amp;Y4</f>
        <v>:104200001B001D001F0021002200250027002A0000</v>
      </c>
      <c r="Q4" s="61" t="str">
        <f t="shared" ref="Q4:Q19" si="0">DEC2HEX(F4,2)&amp;" "&amp;DEC2HEX(G4,2)&amp;" "&amp;DEC2HEX(H4,2)&amp;" "&amp;DEC2HEX(I4,2)&amp;"   "&amp;DEC2HEX(J4,2)&amp;" "&amp;DEC2HEX(K4,2)&amp;" "&amp;DEC2HEX(L4,2)&amp;" "&amp;DEC2HEX(M4,2)</f>
        <v>1B 1D 1F 21   22 25 27 2A</v>
      </c>
      <c r="S4" s="109">
        <f>SUM(D4:M4)</f>
        <v>496</v>
      </c>
      <c r="T4" s="140" t="str">
        <f>DEC2HEX(S4)</f>
        <v>1F0</v>
      </c>
      <c r="U4" s="140" t="str">
        <f>RIGHT(T4,2)</f>
        <v>F0</v>
      </c>
      <c r="V4" s="140">
        <f>255-HEX2DEC(U4)</f>
        <v>15</v>
      </c>
      <c r="W4" s="140">
        <f t="shared" ref="W4:W19" si="1">V4+1</f>
        <v>16</v>
      </c>
      <c r="X4" s="140" t="str">
        <f t="shared" ref="X4:X12" si="2">IF(W4=256,"00",DEC2HEX(W4,2))</f>
        <v>10</v>
      </c>
      <c r="Y4" s="166" t="str">
        <f t="shared" ref="Y4:Y19" si="3">RIGHT(DEC2HEX(HEX2DEC(X4)-16,2),2)</f>
        <v>00</v>
      </c>
      <c r="AF4" s="41"/>
      <c r="AG4" s="47"/>
    </row>
    <row r="5" spans="1:33">
      <c r="A5" s="67">
        <v>16</v>
      </c>
      <c r="B5" s="242">
        <v>42</v>
      </c>
      <c r="C5" s="66" t="str">
        <f t="shared" ref="C5:C19" si="4">DEC2HEX(E5,2)</f>
        <v>10</v>
      </c>
      <c r="D5" s="66">
        <v>224</v>
      </c>
      <c r="E5" s="66">
        <v>16</v>
      </c>
      <c r="F5" s="68">
        <f>Advance_curve!J17</f>
        <v>45</v>
      </c>
      <c r="G5" s="68">
        <f>Advance_curve!J18</f>
        <v>47</v>
      </c>
      <c r="H5" s="68">
        <f>Advance_curve!J19</f>
        <v>50</v>
      </c>
      <c r="I5" s="68">
        <f>Advance_curve!J20</f>
        <v>52</v>
      </c>
      <c r="J5" s="189">
        <f>Advance_curve!J21</f>
        <v>55</v>
      </c>
      <c r="K5" s="68">
        <f>Advance_curve!J22</f>
        <v>57</v>
      </c>
      <c r="L5" s="68">
        <f>Advance_curve!J23</f>
        <v>60</v>
      </c>
      <c r="M5" s="68">
        <f>Advance_curve!J24</f>
        <v>63</v>
      </c>
      <c r="O5" s="54" t="str">
        <f>":"&amp;DEC2HEX(A5,2)&amp;B5&amp;C5&amp;"00"&amp;DEC2HEX(F5,2)&amp;"00"&amp;DEC2HEX(G5,2)&amp;"00"&amp;DEC2HEX(H5,2)&amp;"00"&amp;DEC2HEX(I5,2)&amp;"00"&amp;DEC2HEX(J5,2)&amp;"00"&amp;DEC2HEX(K5,2)&amp;"00"&amp;DEC2HEX(L5,2)&amp;"00"&amp;DEC2HEX(M5,2)&amp;"00"&amp;Y5</f>
        <v>:104210002D002F0032003400370039003C003F0053</v>
      </c>
      <c r="Q5" s="54" t="str">
        <f t="shared" si="0"/>
        <v>2D 2F 32 34   37 39 3C 3F</v>
      </c>
      <c r="S5" s="109">
        <f>SUM(D5:M5)</f>
        <v>669</v>
      </c>
      <c r="T5" s="140" t="str">
        <f t="shared" ref="T5:T19" si="5">DEC2HEX(S5)</f>
        <v>29D</v>
      </c>
      <c r="U5" s="140" t="str">
        <f t="shared" ref="U5:U19" si="6">RIGHT(T5,2)</f>
        <v>9D</v>
      </c>
      <c r="V5" s="140">
        <f t="shared" ref="V5:V19" si="7">255-HEX2DEC(U5)</f>
        <v>98</v>
      </c>
      <c r="W5" s="140">
        <f t="shared" si="1"/>
        <v>99</v>
      </c>
      <c r="X5" s="140" t="str">
        <f t="shared" si="2"/>
        <v>63</v>
      </c>
      <c r="Y5" s="166" t="str">
        <f t="shared" si="3"/>
        <v>53</v>
      </c>
    </row>
    <row r="6" spans="1:33">
      <c r="A6" s="67">
        <v>16</v>
      </c>
      <c r="B6" s="242">
        <v>42</v>
      </c>
      <c r="C6" s="66" t="str">
        <f t="shared" si="4"/>
        <v>20</v>
      </c>
      <c r="D6" s="66">
        <v>224</v>
      </c>
      <c r="E6" s="66">
        <v>32</v>
      </c>
      <c r="F6" s="68">
        <f>Advance_curve!J25</f>
        <v>65</v>
      </c>
      <c r="G6" s="68">
        <f>Advance_curve!J26</f>
        <v>68</v>
      </c>
      <c r="H6" s="68">
        <f>Advance_curve!J27</f>
        <v>70</v>
      </c>
      <c r="I6" s="68">
        <f>Advance_curve!J28</f>
        <v>73</v>
      </c>
      <c r="J6" s="189">
        <f>Advance_curve!J29</f>
        <v>75</v>
      </c>
      <c r="K6" s="68">
        <f>Advance_curve!J30</f>
        <v>78</v>
      </c>
      <c r="L6" s="68">
        <f>Advance_curve!J31</f>
        <v>80</v>
      </c>
      <c r="M6" s="68">
        <f>Advance_curve!J32</f>
        <v>83</v>
      </c>
      <c r="O6" s="54" t="str">
        <f t="shared" ref="O6:O19" si="8">":"&amp;DEC2HEX(A6,2)&amp;B6&amp;C6&amp;"00"&amp;DEC2HEX(F6,2)&amp;"00"&amp;DEC2HEX(G6,2)&amp;"00"&amp;DEC2HEX(H6,2)&amp;"00"&amp;DEC2HEX(I6,2)&amp;"00"&amp;DEC2HEX(J6,2)&amp;"00"&amp;DEC2HEX(K6,2)&amp;"00"&amp;DEC2HEX(L6,2)&amp;"00"&amp;DEC2HEX(M6,2)&amp;"00"&amp;Y6</f>
        <v>:1042200041004400460049004B004E0050005300A0</v>
      </c>
      <c r="Q6" s="54" t="str">
        <f t="shared" si="0"/>
        <v>41 44 46 49   4B 4E 50 53</v>
      </c>
      <c r="S6" s="109">
        <f t="shared" ref="S6:S19" si="9">SUM(D6:M6)</f>
        <v>848</v>
      </c>
      <c r="T6" s="140" t="str">
        <f t="shared" si="5"/>
        <v>350</v>
      </c>
      <c r="U6" s="140" t="str">
        <f t="shared" si="6"/>
        <v>50</v>
      </c>
      <c r="V6" s="140">
        <f t="shared" si="7"/>
        <v>175</v>
      </c>
      <c r="W6" s="140">
        <f t="shared" si="1"/>
        <v>176</v>
      </c>
      <c r="X6" s="140" t="str">
        <f t="shared" si="2"/>
        <v>B0</v>
      </c>
      <c r="Y6" s="166" t="str">
        <f t="shared" si="3"/>
        <v>A0</v>
      </c>
    </row>
    <row r="7" spans="1:33">
      <c r="A7" s="67">
        <v>16</v>
      </c>
      <c r="B7" s="242">
        <v>42</v>
      </c>
      <c r="C7" s="66" t="str">
        <f t="shared" si="4"/>
        <v>30</v>
      </c>
      <c r="D7" s="66">
        <v>224</v>
      </c>
      <c r="E7" s="66">
        <v>48</v>
      </c>
      <c r="F7" s="68">
        <f>Advance_curve!J33</f>
        <v>86</v>
      </c>
      <c r="G7" s="68">
        <f>Advance_curve!J34</f>
        <v>88</v>
      </c>
      <c r="H7" s="68">
        <f>Advance_curve!J35</f>
        <v>91</v>
      </c>
      <c r="I7" s="68">
        <f>Advance_curve!J36</f>
        <v>93</v>
      </c>
      <c r="J7" s="189">
        <f>Advance_curve!J37</f>
        <v>96</v>
      </c>
      <c r="K7" s="68">
        <f>Advance_curve!J38</f>
        <v>98</v>
      </c>
      <c r="L7" s="68">
        <f>Advance_curve!J39</f>
        <v>101</v>
      </c>
      <c r="M7" s="68">
        <f>Advance_curve!J40</f>
        <v>103</v>
      </c>
      <c r="O7" s="54" t="str">
        <f t="shared" si="8"/>
        <v>:10423000560058005B005D006000620065006700EC</v>
      </c>
      <c r="Q7" s="54" t="str">
        <f t="shared" si="0"/>
        <v>56 58 5B 5D   60 62 65 67</v>
      </c>
      <c r="S7" s="109">
        <f t="shared" si="9"/>
        <v>1028</v>
      </c>
      <c r="T7" s="140" t="str">
        <f t="shared" si="5"/>
        <v>404</v>
      </c>
      <c r="U7" s="140" t="str">
        <f t="shared" si="6"/>
        <v>04</v>
      </c>
      <c r="V7" s="140">
        <f t="shared" si="7"/>
        <v>251</v>
      </c>
      <c r="W7" s="140">
        <f t="shared" si="1"/>
        <v>252</v>
      </c>
      <c r="X7" s="140" t="str">
        <f t="shared" si="2"/>
        <v>FC</v>
      </c>
      <c r="Y7" s="166" t="str">
        <f t="shared" si="3"/>
        <v>EC</v>
      </c>
    </row>
    <row r="8" spans="1:33">
      <c r="A8" s="67">
        <v>16</v>
      </c>
      <c r="B8" s="242">
        <v>42</v>
      </c>
      <c r="C8" s="66" t="str">
        <f t="shared" si="4"/>
        <v>40</v>
      </c>
      <c r="D8" s="66">
        <v>224</v>
      </c>
      <c r="E8" s="66">
        <v>64</v>
      </c>
      <c r="F8" s="68">
        <f>Advance_curve!J41</f>
        <v>106</v>
      </c>
      <c r="G8" s="68">
        <f>Advance_curve!J42</f>
        <v>109</v>
      </c>
      <c r="H8" s="68">
        <f>Advance_curve!J43</f>
        <v>111</v>
      </c>
      <c r="I8" s="68">
        <f>Advance_curve!J44</f>
        <v>114</v>
      </c>
      <c r="J8" s="189">
        <f>Advance_curve!J45</f>
        <v>116</v>
      </c>
      <c r="K8" s="68">
        <f>Advance_curve!J46</f>
        <v>119</v>
      </c>
      <c r="L8" s="68">
        <f>Advance_curve!J47</f>
        <v>121</v>
      </c>
      <c r="M8" s="68">
        <f>Advance_curve!J48</f>
        <v>124</v>
      </c>
      <c r="O8" s="54" t="str">
        <f t="shared" si="8"/>
        <v>:104240006A006D006F0072007400770079007C0038</v>
      </c>
      <c r="Q8" s="54" t="str">
        <f t="shared" si="0"/>
        <v>6A 6D 6F 72   74 77 79 7C</v>
      </c>
      <c r="S8" s="109">
        <f t="shared" si="9"/>
        <v>1208</v>
      </c>
      <c r="T8" s="140" t="str">
        <f t="shared" si="5"/>
        <v>4B8</v>
      </c>
      <c r="U8" s="140" t="str">
        <f t="shared" si="6"/>
        <v>B8</v>
      </c>
      <c r="V8" s="140">
        <f t="shared" si="7"/>
        <v>71</v>
      </c>
      <c r="W8" s="140">
        <f t="shared" si="1"/>
        <v>72</v>
      </c>
      <c r="X8" s="140" t="str">
        <f t="shared" si="2"/>
        <v>48</v>
      </c>
      <c r="Y8" s="166" t="str">
        <f t="shared" si="3"/>
        <v>38</v>
      </c>
    </row>
    <row r="9" spans="1:33">
      <c r="A9" s="67">
        <v>16</v>
      </c>
      <c r="B9" s="242">
        <v>42</v>
      </c>
      <c r="C9" s="66" t="str">
        <f t="shared" si="4"/>
        <v>50</v>
      </c>
      <c r="D9" s="66">
        <v>224</v>
      </c>
      <c r="E9" s="66">
        <v>80</v>
      </c>
      <c r="F9" s="68">
        <f>Advance_curve!J49</f>
        <v>127</v>
      </c>
      <c r="G9" s="68">
        <f>Advance_curve!J50</f>
        <v>129</v>
      </c>
      <c r="H9" s="68">
        <f>Advance_curve!J51</f>
        <v>132</v>
      </c>
      <c r="I9" s="68">
        <f>Advance_curve!J52</f>
        <v>134</v>
      </c>
      <c r="J9" s="189">
        <f>Advance_curve!J53</f>
        <v>137</v>
      </c>
      <c r="K9" s="68">
        <f>Advance_curve!J54</f>
        <v>139</v>
      </c>
      <c r="L9" s="68">
        <f>Advance_curve!J55</f>
        <v>142</v>
      </c>
      <c r="M9" s="68">
        <f>Advance_curve!J56</f>
        <v>144</v>
      </c>
      <c r="O9" s="54" t="str">
        <f t="shared" si="8"/>
        <v>:104250007F0081008400860089008B008E00900084</v>
      </c>
      <c r="Q9" s="54" t="str">
        <f t="shared" si="0"/>
        <v>7F 81 84 86   89 8B 8E 90</v>
      </c>
      <c r="S9" s="109">
        <f t="shared" si="9"/>
        <v>1388</v>
      </c>
      <c r="T9" s="140" t="str">
        <f t="shared" si="5"/>
        <v>56C</v>
      </c>
      <c r="U9" s="140" t="str">
        <f t="shared" si="6"/>
        <v>6C</v>
      </c>
      <c r="V9" s="140">
        <f t="shared" si="7"/>
        <v>147</v>
      </c>
      <c r="W9" s="140">
        <f t="shared" si="1"/>
        <v>148</v>
      </c>
      <c r="X9" s="140" t="str">
        <f t="shared" si="2"/>
        <v>94</v>
      </c>
      <c r="Y9" s="166" t="str">
        <f t="shared" si="3"/>
        <v>84</v>
      </c>
    </row>
    <row r="10" spans="1:33">
      <c r="A10" s="67">
        <v>16</v>
      </c>
      <c r="B10" s="242">
        <v>42</v>
      </c>
      <c r="C10" s="66" t="str">
        <f t="shared" si="4"/>
        <v>60</v>
      </c>
      <c r="D10" s="66">
        <v>224</v>
      </c>
      <c r="E10" s="66">
        <v>96</v>
      </c>
      <c r="F10" s="68">
        <f>Advance_curve!J57</f>
        <v>147</v>
      </c>
      <c r="G10" s="68">
        <f>Advance_curve!J58</f>
        <v>150</v>
      </c>
      <c r="H10" s="68">
        <f>Advance_curve!J59</f>
        <v>152</v>
      </c>
      <c r="I10" s="68">
        <f>Advance_curve!J60</f>
        <v>155</v>
      </c>
      <c r="J10" s="189">
        <f>Advance_curve!J61</f>
        <v>157</v>
      </c>
      <c r="K10" s="68">
        <f>Advance_curve!J62</f>
        <v>160</v>
      </c>
      <c r="L10" s="68">
        <f>Advance_curve!J63</f>
        <v>162</v>
      </c>
      <c r="M10" s="68">
        <f>Advance_curve!J64</f>
        <v>165</v>
      </c>
      <c r="O10" s="54" t="str">
        <f t="shared" si="8"/>
        <v>:104260009300960098009B009D00A000A200A500D0</v>
      </c>
      <c r="Q10" s="54" t="str">
        <f t="shared" si="0"/>
        <v>93 96 98 9B   9D A0 A2 A5</v>
      </c>
      <c r="S10" s="109">
        <f t="shared" si="9"/>
        <v>1568</v>
      </c>
      <c r="T10" s="140" t="str">
        <f t="shared" si="5"/>
        <v>620</v>
      </c>
      <c r="U10" s="140" t="str">
        <f t="shared" si="6"/>
        <v>20</v>
      </c>
      <c r="V10" s="140">
        <f t="shared" si="7"/>
        <v>223</v>
      </c>
      <c r="W10" s="140">
        <f t="shared" si="1"/>
        <v>224</v>
      </c>
      <c r="X10" s="140" t="str">
        <f t="shared" si="2"/>
        <v>E0</v>
      </c>
      <c r="Y10" s="166" t="str">
        <f t="shared" si="3"/>
        <v>D0</v>
      </c>
    </row>
    <row r="11" spans="1:33">
      <c r="A11" s="67">
        <v>16</v>
      </c>
      <c r="B11" s="242">
        <v>42</v>
      </c>
      <c r="C11" s="66" t="str">
        <f t="shared" si="4"/>
        <v>70</v>
      </c>
      <c r="D11" s="66">
        <v>224</v>
      </c>
      <c r="E11" s="66">
        <v>112</v>
      </c>
      <c r="F11" s="68">
        <f>Advance_curve!J65</f>
        <v>167</v>
      </c>
      <c r="G11" s="68">
        <f>Advance_curve!J66</f>
        <v>170</v>
      </c>
      <c r="H11" s="68">
        <f>Advance_curve!J67</f>
        <v>173</v>
      </c>
      <c r="I11" s="68">
        <f>Advance_curve!J68</f>
        <v>175</v>
      </c>
      <c r="J11" s="189">
        <f>Advance_curve!J69</f>
        <v>178</v>
      </c>
      <c r="K11" s="68">
        <f>Advance_curve!J70</f>
        <v>180</v>
      </c>
      <c r="L11" s="68">
        <f>Advance_curve!J71</f>
        <v>183</v>
      </c>
      <c r="M11" s="68">
        <f>Advance_curve!J72</f>
        <v>185</v>
      </c>
      <c r="O11" s="54" t="str">
        <f t="shared" si="8"/>
        <v>:10427000A700AA00AD00AF00B200B400B700B9001D</v>
      </c>
      <c r="Q11" s="54" t="str">
        <f t="shared" si="0"/>
        <v>A7 AA AD AF   B2 B4 B7 B9</v>
      </c>
      <c r="S11" s="109">
        <f t="shared" si="9"/>
        <v>1747</v>
      </c>
      <c r="T11" s="140" t="str">
        <f t="shared" si="5"/>
        <v>6D3</v>
      </c>
      <c r="U11" s="140" t="str">
        <f t="shared" si="6"/>
        <v>D3</v>
      </c>
      <c r="V11" s="140">
        <f t="shared" si="7"/>
        <v>44</v>
      </c>
      <c r="W11" s="140">
        <f t="shared" si="1"/>
        <v>45</v>
      </c>
      <c r="X11" s="140" t="str">
        <f t="shared" si="2"/>
        <v>2D</v>
      </c>
      <c r="Y11" s="166" t="str">
        <f t="shared" si="3"/>
        <v>1D</v>
      </c>
      <c r="AF11" s="41"/>
      <c r="AG11" s="47"/>
    </row>
    <row r="12" spans="1:33">
      <c r="A12" s="67">
        <v>16</v>
      </c>
      <c r="B12" s="242">
        <v>42</v>
      </c>
      <c r="C12" s="66" t="str">
        <f t="shared" si="4"/>
        <v>80</v>
      </c>
      <c r="D12" s="66">
        <v>224</v>
      </c>
      <c r="E12" s="66">
        <v>128</v>
      </c>
      <c r="F12" s="68">
        <f>Advance_curve!J73</f>
        <v>188</v>
      </c>
      <c r="G12" s="68">
        <f>Advance_curve!J74</f>
        <v>191</v>
      </c>
      <c r="H12" s="68">
        <f>Advance_curve!J75</f>
        <v>193</v>
      </c>
      <c r="I12" s="68">
        <f>Advance_curve!J76</f>
        <v>196</v>
      </c>
      <c r="J12" s="189">
        <f>Advance_curve!J77</f>
        <v>198</v>
      </c>
      <c r="K12" s="68">
        <f>Advance_curve!J78</f>
        <v>201</v>
      </c>
      <c r="L12" s="68">
        <f>Advance_curve!J79</f>
        <v>203</v>
      </c>
      <c r="M12" s="68">
        <f>Advance_curve!J80</f>
        <v>206</v>
      </c>
      <c r="O12" s="54" t="str">
        <f t="shared" si="8"/>
        <v>:10428000BC00BF00C100C400C600C900CB00CE0068</v>
      </c>
      <c r="Q12" s="54" t="str">
        <f t="shared" si="0"/>
        <v>BC BF C1 C4   C6 C9 CB CE</v>
      </c>
      <c r="S12" s="109">
        <f t="shared" si="9"/>
        <v>1928</v>
      </c>
      <c r="T12" s="140" t="str">
        <f t="shared" si="5"/>
        <v>788</v>
      </c>
      <c r="U12" s="140" t="str">
        <f t="shared" si="6"/>
        <v>88</v>
      </c>
      <c r="V12" s="140">
        <f t="shared" si="7"/>
        <v>119</v>
      </c>
      <c r="W12" s="140">
        <f t="shared" si="1"/>
        <v>120</v>
      </c>
      <c r="X12" s="140" t="str">
        <f t="shared" si="2"/>
        <v>78</v>
      </c>
      <c r="Y12" s="166" t="str">
        <f t="shared" si="3"/>
        <v>68</v>
      </c>
      <c r="AF12" s="41"/>
      <c r="AG12" s="47"/>
    </row>
    <row r="13" spans="1:33">
      <c r="A13" s="67">
        <v>16</v>
      </c>
      <c r="B13" s="242">
        <v>42</v>
      </c>
      <c r="C13" s="66" t="str">
        <f t="shared" si="4"/>
        <v>90</v>
      </c>
      <c r="D13" s="66">
        <v>224</v>
      </c>
      <c r="E13" s="66">
        <v>144</v>
      </c>
      <c r="F13" s="68">
        <f>Advance_curve!J81</f>
        <v>209</v>
      </c>
      <c r="G13" s="68">
        <f>Advance_curve!J82</f>
        <v>211</v>
      </c>
      <c r="H13" s="68">
        <f>Advance_curve!J83</f>
        <v>214</v>
      </c>
      <c r="I13" s="68">
        <f>Advance_curve!J84</f>
        <v>216</v>
      </c>
      <c r="J13" s="189">
        <f>Advance_curve!J85</f>
        <v>219</v>
      </c>
      <c r="K13" s="68">
        <f>Advance_curve!J86</f>
        <v>221</v>
      </c>
      <c r="L13" s="68">
        <f>Advance_curve!J87</f>
        <v>224</v>
      </c>
      <c r="M13" s="68">
        <f>Advance_curve!J88</f>
        <v>226</v>
      </c>
      <c r="O13" s="54" t="str">
        <f t="shared" si="8"/>
        <v>:10429000D100D300D600D800DB00DD00E000E200B4</v>
      </c>
      <c r="Q13" s="54" t="str">
        <f t="shared" si="0"/>
        <v>D1 D3 D6 D8   DB DD E0 E2</v>
      </c>
      <c r="S13" s="109">
        <f t="shared" si="9"/>
        <v>2108</v>
      </c>
      <c r="T13" s="140" t="str">
        <f t="shared" si="5"/>
        <v>83C</v>
      </c>
      <c r="U13" s="140" t="str">
        <f t="shared" si="6"/>
        <v>3C</v>
      </c>
      <c r="V13" s="140">
        <f t="shared" si="7"/>
        <v>195</v>
      </c>
      <c r="W13" s="140">
        <f t="shared" si="1"/>
        <v>196</v>
      </c>
      <c r="X13" s="140" t="str">
        <f>IF(W13=256,"00",DEC2HEX(W13,2))</f>
        <v>C4</v>
      </c>
      <c r="Y13" s="166" t="str">
        <f t="shared" si="3"/>
        <v>B4</v>
      </c>
      <c r="AF13" s="41"/>
      <c r="AG13" s="47"/>
    </row>
    <row r="14" spans="1:33">
      <c r="A14" s="67">
        <v>16</v>
      </c>
      <c r="B14" s="242">
        <v>42</v>
      </c>
      <c r="C14" s="66" t="str">
        <f t="shared" si="4"/>
        <v>A0</v>
      </c>
      <c r="D14" s="66">
        <v>224</v>
      </c>
      <c r="E14" s="66">
        <v>160</v>
      </c>
      <c r="F14" s="68">
        <f>Advance_curve!J89</f>
        <v>229</v>
      </c>
      <c r="G14" s="68">
        <f>Advance_curve!J90</f>
        <v>232</v>
      </c>
      <c r="H14" s="68">
        <f>Advance_curve!J91</f>
        <v>234</v>
      </c>
      <c r="I14" s="68">
        <f>Advance_curve!J92</f>
        <v>237</v>
      </c>
      <c r="J14" s="189">
        <f>Advance_curve!J93</f>
        <v>239</v>
      </c>
      <c r="K14" s="68">
        <f>Advance_curve!J94</f>
        <v>242</v>
      </c>
      <c r="L14" s="68">
        <f>Advance_curve!J95</f>
        <v>244</v>
      </c>
      <c r="M14" s="68">
        <f>Advance_curve!J96</f>
        <v>247</v>
      </c>
      <c r="O14" s="54" t="str">
        <f t="shared" si="8"/>
        <v>:1042A000E500E800EA00ED00EF00F200F400F70000</v>
      </c>
      <c r="Q14" s="54" t="str">
        <f t="shared" si="0"/>
        <v>E5 E8 EA ED   EF F2 F4 F7</v>
      </c>
      <c r="S14" s="109">
        <f t="shared" si="9"/>
        <v>2288</v>
      </c>
      <c r="T14" s="140" t="str">
        <f t="shared" si="5"/>
        <v>8F0</v>
      </c>
      <c r="U14" s="140" t="str">
        <f t="shared" si="6"/>
        <v>F0</v>
      </c>
      <c r="V14" s="140">
        <f t="shared" si="7"/>
        <v>15</v>
      </c>
      <c r="W14" s="140">
        <f t="shared" si="1"/>
        <v>16</v>
      </c>
      <c r="X14" s="140" t="str">
        <f t="shared" ref="X14:X19" si="10">IF(W14=256,"00",DEC2HEX(W14,2))</f>
        <v>10</v>
      </c>
      <c r="Y14" s="166" t="str">
        <f t="shared" si="3"/>
        <v>00</v>
      </c>
      <c r="AF14" s="41"/>
      <c r="AG14" s="47"/>
    </row>
    <row r="15" spans="1:33">
      <c r="A15" s="67">
        <v>16</v>
      </c>
      <c r="B15" s="242">
        <v>42</v>
      </c>
      <c r="C15" s="66" t="str">
        <f t="shared" si="4"/>
        <v>B0</v>
      </c>
      <c r="D15" s="66">
        <v>224</v>
      </c>
      <c r="E15" s="66">
        <v>176</v>
      </c>
      <c r="F15" s="116">
        <f>Advance_curve!J97</f>
        <v>250</v>
      </c>
      <c r="G15" s="68">
        <f>Advance_curve!J98</f>
        <v>252</v>
      </c>
      <c r="H15" s="68">
        <f>Advance_curve!J99</f>
        <v>255</v>
      </c>
      <c r="I15" s="68">
        <f>Advance_curve!J100</f>
        <v>255</v>
      </c>
      <c r="J15" s="189">
        <f>Advance_curve!J101</f>
        <v>255</v>
      </c>
      <c r="K15" s="68">
        <f>Advance_curve!J102</f>
        <v>255</v>
      </c>
      <c r="L15" s="68">
        <f>Advance_curve!J103</f>
        <v>255</v>
      </c>
      <c r="M15" s="69">
        <v>0</v>
      </c>
      <c r="O15" s="54" t="str">
        <f t="shared" si="8"/>
        <v>:1042B000FA00FC00FF00FF00FF00FF00FF0000006F</v>
      </c>
      <c r="Q15" s="54" t="str">
        <f t="shared" si="0"/>
        <v>FA FC FF FF   FF FF FF 00</v>
      </c>
      <c r="S15" s="109">
        <f t="shared" si="9"/>
        <v>2177</v>
      </c>
      <c r="T15" s="140" t="str">
        <f t="shared" si="5"/>
        <v>881</v>
      </c>
      <c r="U15" s="140" t="str">
        <f t="shared" si="6"/>
        <v>81</v>
      </c>
      <c r="V15" s="140">
        <f t="shared" si="7"/>
        <v>126</v>
      </c>
      <c r="W15" s="140">
        <f t="shared" si="1"/>
        <v>127</v>
      </c>
      <c r="X15" s="140" t="str">
        <f t="shared" si="10"/>
        <v>7F</v>
      </c>
      <c r="Y15" s="166" t="str">
        <f t="shared" si="3"/>
        <v>6F</v>
      </c>
      <c r="AF15" s="41"/>
      <c r="AG15" s="47"/>
    </row>
    <row r="16" spans="1:33">
      <c r="A16" s="67">
        <v>16</v>
      </c>
      <c r="B16" s="242">
        <v>42</v>
      </c>
      <c r="C16" s="66" t="str">
        <f t="shared" si="4"/>
        <v>C0</v>
      </c>
      <c r="D16" s="66">
        <v>224</v>
      </c>
      <c r="E16" s="66">
        <v>192</v>
      </c>
      <c r="F16" s="69">
        <v>0</v>
      </c>
      <c r="G16" s="69">
        <v>0</v>
      </c>
      <c r="H16" s="69">
        <v>0</v>
      </c>
      <c r="I16" s="69">
        <v>0</v>
      </c>
      <c r="J16" s="190">
        <v>0</v>
      </c>
      <c r="K16" s="69">
        <v>0</v>
      </c>
      <c r="L16" s="69">
        <v>0</v>
      </c>
      <c r="M16" s="69">
        <v>0</v>
      </c>
      <c r="O16" s="54" t="str">
        <f t="shared" si="8"/>
        <v>:1042C0000000000000000000000000000000000050</v>
      </c>
      <c r="Q16" s="54" t="str">
        <f t="shared" si="0"/>
        <v>00 00 00 00   00 00 00 00</v>
      </c>
      <c r="R16" s="167"/>
      <c r="S16" s="109">
        <f t="shared" si="9"/>
        <v>416</v>
      </c>
      <c r="T16" s="140" t="str">
        <f t="shared" si="5"/>
        <v>1A0</v>
      </c>
      <c r="U16" s="140" t="str">
        <f t="shared" si="6"/>
        <v>A0</v>
      </c>
      <c r="V16" s="140">
        <f t="shared" si="7"/>
        <v>95</v>
      </c>
      <c r="W16" s="140">
        <f t="shared" si="1"/>
        <v>96</v>
      </c>
      <c r="X16" s="140" t="str">
        <f t="shared" si="10"/>
        <v>60</v>
      </c>
      <c r="Y16" s="166" t="str">
        <f t="shared" si="3"/>
        <v>50</v>
      </c>
      <c r="AF16" s="41"/>
      <c r="AG16" s="47"/>
    </row>
    <row r="17" spans="1:33">
      <c r="A17" s="67">
        <v>16</v>
      </c>
      <c r="B17" s="242">
        <v>42</v>
      </c>
      <c r="C17" s="66" t="str">
        <f t="shared" si="4"/>
        <v>D0</v>
      </c>
      <c r="D17" s="66">
        <v>224</v>
      </c>
      <c r="E17" s="66">
        <v>208</v>
      </c>
      <c r="F17" s="69">
        <v>0</v>
      </c>
      <c r="G17" s="69">
        <v>0</v>
      </c>
      <c r="H17" s="69">
        <v>0</v>
      </c>
      <c r="I17" s="69">
        <v>0</v>
      </c>
      <c r="J17" s="190">
        <v>0</v>
      </c>
      <c r="K17" s="69">
        <v>0</v>
      </c>
      <c r="L17" s="69">
        <v>0</v>
      </c>
      <c r="M17" s="69">
        <v>0</v>
      </c>
      <c r="O17" s="54" t="str">
        <f t="shared" si="8"/>
        <v>:1042D0000000000000000000000000000000000040</v>
      </c>
      <c r="Q17" s="54" t="str">
        <f t="shared" si="0"/>
        <v>00 00 00 00   00 00 00 00</v>
      </c>
      <c r="R17" s="167"/>
      <c r="S17" s="109">
        <f t="shared" si="9"/>
        <v>432</v>
      </c>
      <c r="T17" s="140" t="str">
        <f t="shared" si="5"/>
        <v>1B0</v>
      </c>
      <c r="U17" s="140" t="str">
        <f t="shared" si="6"/>
        <v>B0</v>
      </c>
      <c r="V17" s="140">
        <f t="shared" si="7"/>
        <v>79</v>
      </c>
      <c r="W17" s="140">
        <f t="shared" si="1"/>
        <v>80</v>
      </c>
      <c r="X17" s="140" t="str">
        <f t="shared" si="10"/>
        <v>50</v>
      </c>
      <c r="Y17" s="166" t="str">
        <f t="shared" si="3"/>
        <v>40</v>
      </c>
      <c r="AF17" s="41"/>
      <c r="AG17" s="47"/>
    </row>
    <row r="18" spans="1:33">
      <c r="A18" s="67">
        <v>16</v>
      </c>
      <c r="B18" s="242">
        <v>42</v>
      </c>
      <c r="C18" s="66" t="str">
        <f t="shared" si="4"/>
        <v>E0</v>
      </c>
      <c r="D18" s="66">
        <v>224</v>
      </c>
      <c r="E18" s="66">
        <v>224</v>
      </c>
      <c r="F18" s="118">
        <f>Advance_curve!$I$1</f>
        <v>79</v>
      </c>
      <c r="G18" s="118">
        <f>Advance_curve!$J$1</f>
        <v>20</v>
      </c>
      <c r="H18" s="118">
        <f>Advance_curve!$K$1</f>
        <v>2</v>
      </c>
      <c r="I18" s="69">
        <f>Advance_curve!$F$5</f>
        <v>50</v>
      </c>
      <c r="J18" s="190">
        <v>20</v>
      </c>
      <c r="K18" s="69">
        <v>20</v>
      </c>
      <c r="L18" s="69">
        <v>20</v>
      </c>
      <c r="M18" s="118">
        <f>Advance_curve!$M$35</f>
        <v>1</v>
      </c>
      <c r="O18" s="54" t="str">
        <f t="shared" si="8"/>
        <v>:1042E0004F0014000200320014001400140001005C</v>
      </c>
      <c r="Q18" s="54" t="str">
        <f t="shared" si="0"/>
        <v>4F 14 02 32   14 14 14 01</v>
      </c>
      <c r="R18" s="167"/>
      <c r="S18" s="109">
        <f t="shared" si="9"/>
        <v>660</v>
      </c>
      <c r="T18" s="140" t="str">
        <f t="shared" si="5"/>
        <v>294</v>
      </c>
      <c r="U18" s="140" t="str">
        <f t="shared" si="6"/>
        <v>94</v>
      </c>
      <c r="V18" s="140">
        <f t="shared" si="7"/>
        <v>107</v>
      </c>
      <c r="W18" s="140">
        <f t="shared" si="1"/>
        <v>108</v>
      </c>
      <c r="X18" s="140" t="str">
        <f t="shared" si="10"/>
        <v>6C</v>
      </c>
      <c r="Y18" s="166" t="str">
        <f t="shared" si="3"/>
        <v>5C</v>
      </c>
      <c r="AF18" s="41"/>
      <c r="AG18" s="47"/>
    </row>
    <row r="19" spans="1:33">
      <c r="A19" s="67">
        <v>16</v>
      </c>
      <c r="B19" s="242">
        <v>42</v>
      </c>
      <c r="C19" s="66" t="str">
        <f t="shared" si="4"/>
        <v>F0</v>
      </c>
      <c r="D19" s="66">
        <v>224</v>
      </c>
      <c r="E19" s="66">
        <v>240</v>
      </c>
      <c r="F19" s="204">
        <f>VeryLowRPM!C9</f>
        <v>18.204444444444444</v>
      </c>
      <c r="G19" s="187">
        <f>INT((1/Advance_curve!$M$30)*(60*1000000)/Advance_curve!$M$34/256)</f>
        <v>12</v>
      </c>
      <c r="H19" s="155">
        <f>IF(Advance_curve!$M$32="Auto",99,Advance_curve!$M$32/ 500)</f>
        <v>99</v>
      </c>
      <c r="I19" s="154">
        <f>Advance_curve!$M$30</f>
        <v>2</v>
      </c>
      <c r="J19" s="191">
        <f>advance_at_lowRPM!I2</f>
        <v>15</v>
      </c>
      <c r="K19" s="72">
        <f>Advance_curve!$J$5</f>
        <v>20</v>
      </c>
      <c r="L19" s="70">
        <f>Advance_curve!$B$9</f>
        <v>11</v>
      </c>
      <c r="M19" s="71">
        <f>Advance_curve!$B$103</f>
        <v>105</v>
      </c>
      <c r="O19" s="54" t="str">
        <f t="shared" si="8"/>
        <v>:1042F00012000C00630002000F0014000B00690006</v>
      </c>
      <c r="Q19" s="55" t="str">
        <f t="shared" si="0"/>
        <v>12 0C 63 02   0F 14 0B 69</v>
      </c>
      <c r="R19" s="167"/>
      <c r="S19" s="109">
        <f t="shared" si="9"/>
        <v>746.20444444444445</v>
      </c>
      <c r="T19" s="140" t="str">
        <f t="shared" si="5"/>
        <v>2EA</v>
      </c>
      <c r="U19" s="140" t="str">
        <f t="shared" si="6"/>
        <v>EA</v>
      </c>
      <c r="V19" s="140">
        <f t="shared" si="7"/>
        <v>21</v>
      </c>
      <c r="W19" s="140">
        <f t="shared" si="1"/>
        <v>22</v>
      </c>
      <c r="X19" s="140" t="str">
        <f t="shared" si="10"/>
        <v>16</v>
      </c>
      <c r="Y19" s="166" t="str">
        <f t="shared" si="3"/>
        <v>06</v>
      </c>
      <c r="AF19" s="41"/>
      <c r="AG19" s="47"/>
    </row>
    <row r="20" spans="1:33">
      <c r="E20" s="235"/>
      <c r="F20" s="46" t="s">
        <v>40</v>
      </c>
      <c r="O20" s="239" t="s">
        <v>41</v>
      </c>
      <c r="S20" s="105"/>
      <c r="T20" s="105"/>
      <c r="U20" s="105"/>
      <c r="V20" s="105"/>
      <c r="W20" s="105"/>
      <c r="X20" s="105"/>
    </row>
    <row r="21" spans="1:33">
      <c r="E21" s="235"/>
      <c r="F21" s="46"/>
      <c r="S21" s="105"/>
      <c r="T21" s="105"/>
      <c r="U21" s="105"/>
      <c r="V21" s="105"/>
      <c r="W21" s="105"/>
      <c r="X21" s="105"/>
    </row>
    <row r="22" spans="1:33">
      <c r="E22" s="235"/>
      <c r="F22" s="46"/>
      <c r="S22" s="105"/>
      <c r="T22" s="105"/>
      <c r="U22" s="105"/>
      <c r="V22" s="105"/>
      <c r="W22" s="105"/>
      <c r="X22" s="105"/>
    </row>
    <row r="24" spans="1:33">
      <c r="O24" s="167" t="s">
        <v>107</v>
      </c>
      <c r="AB24" s="45"/>
    </row>
    <row r="25" spans="1:33">
      <c r="O25" s="167" t="s">
        <v>108</v>
      </c>
      <c r="AB25" s="45"/>
    </row>
    <row r="26" spans="1:33">
      <c r="O26" s="167" t="s">
        <v>109</v>
      </c>
      <c r="AB26" s="45"/>
    </row>
    <row r="27" spans="1:33">
      <c r="O27" s="167" t="s">
        <v>111</v>
      </c>
    </row>
    <row r="28" spans="1:33">
      <c r="O28" s="167" t="s">
        <v>110</v>
      </c>
    </row>
    <row r="30" spans="1:33" ht="12.75">
      <c r="O30" s="167" t="s">
        <v>44</v>
      </c>
      <c r="P30" s="166"/>
    </row>
    <row r="31" spans="1:33" ht="12.75">
      <c r="O31" s="48" t="s">
        <v>121</v>
      </c>
      <c r="P31" s="166"/>
    </row>
    <row r="32" spans="1:33" ht="12.75">
      <c r="O32" s="48" t="s">
        <v>106</v>
      </c>
      <c r="P32" s="166"/>
    </row>
    <row r="33" spans="2:16" ht="12.75">
      <c r="O33" s="48" t="s">
        <v>163</v>
      </c>
      <c r="P33" s="166"/>
    </row>
    <row r="34" spans="2:16" ht="12.75">
      <c r="O34" s="167" t="s">
        <v>49</v>
      </c>
      <c r="P34" s="166"/>
    </row>
    <row r="37" spans="2:16" ht="12.75">
      <c r="O37" s="240" t="s">
        <v>122</v>
      </c>
      <c r="P37" s="166"/>
    </row>
    <row r="38" spans="2:16" ht="12.75">
      <c r="O38" s="166" t="s">
        <v>104</v>
      </c>
      <c r="P38" s="166"/>
    </row>
    <row r="39" spans="2:16" ht="12.75">
      <c r="O39" s="166"/>
      <c r="P39" s="166"/>
    </row>
    <row r="40" spans="2:16" ht="12.75">
      <c r="O40" s="240" t="s">
        <v>123</v>
      </c>
      <c r="P40" s="166"/>
    </row>
    <row r="41" spans="2:16" ht="12.75">
      <c r="O41" s="166" t="s">
        <v>105</v>
      </c>
      <c r="P41" s="166"/>
    </row>
    <row r="42" spans="2:16" ht="15.75">
      <c r="B42" s="41" t="s">
        <v>270</v>
      </c>
      <c r="C42" s="41"/>
      <c r="D42" s="41"/>
      <c r="P42" s="166"/>
    </row>
    <row r="43" spans="2:16">
      <c r="B43" s="241" t="s">
        <v>271</v>
      </c>
      <c r="C43" s="241"/>
      <c r="D43" s="241"/>
      <c r="P43" s="166"/>
    </row>
    <row r="44" spans="2:16">
      <c r="B44" s="167" t="s">
        <v>272</v>
      </c>
      <c r="C44" s="167"/>
      <c r="D44" s="167"/>
      <c r="P44" s="166"/>
    </row>
    <row r="45" spans="2:16">
      <c r="B45" s="167" t="s">
        <v>273</v>
      </c>
      <c r="C45" s="167"/>
      <c r="D45" s="167"/>
      <c r="P45" s="166"/>
    </row>
    <row r="46" spans="2:16">
      <c r="B46" s="167" t="s">
        <v>274</v>
      </c>
      <c r="C46" s="167"/>
      <c r="D46" s="167"/>
      <c r="P46" s="166"/>
    </row>
    <row r="47" spans="2:16">
      <c r="B47" s="167" t="s">
        <v>275</v>
      </c>
      <c r="C47" s="167"/>
      <c r="D47" s="167"/>
      <c r="J47" s="45" t="s">
        <v>276</v>
      </c>
      <c r="P47" s="166"/>
    </row>
    <row r="48" spans="2:16">
      <c r="B48" s="167" t="s">
        <v>277</v>
      </c>
      <c r="C48" s="167"/>
      <c r="D48" s="167"/>
      <c r="P48" s="166"/>
    </row>
    <row r="49" spans="2:16">
      <c r="B49" s="41"/>
      <c r="C49" s="41"/>
      <c r="D49" s="41"/>
      <c r="O49" s="166"/>
      <c r="P49" s="166"/>
    </row>
    <row r="50" spans="2:16" ht="12.75">
      <c r="B50" s="167" t="s">
        <v>278</v>
      </c>
      <c r="C50" s="167"/>
      <c r="D50" s="167"/>
      <c r="O50" s="166"/>
      <c r="P50" s="166"/>
    </row>
  </sheetData>
  <sheetProtection sheet="1" objects="1" scenarios="1"/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21"/>
  <sheetViews>
    <sheetView workbookViewId="0">
      <selection activeCell="B1" sqref="B1"/>
    </sheetView>
  </sheetViews>
  <sheetFormatPr baseColWidth="10" defaultRowHeight="12.75"/>
  <sheetData>
    <row r="1" spans="1:3">
      <c r="A1" t="s">
        <v>186</v>
      </c>
      <c r="B1" s="45">
        <v>1</v>
      </c>
      <c r="C1" t="s">
        <v>190</v>
      </c>
    </row>
    <row r="2" spans="1:3">
      <c r="A2" t="s">
        <v>187</v>
      </c>
      <c r="B2" s="45">
        <v>2</v>
      </c>
      <c r="C2" t="s">
        <v>189</v>
      </c>
    </row>
    <row r="3" spans="1:3">
      <c r="A3" t="s">
        <v>188</v>
      </c>
      <c r="B3" s="162">
        <v>3.4</v>
      </c>
      <c r="C3" t="s">
        <v>78</v>
      </c>
    </row>
    <row r="5" spans="1:3">
      <c r="A5" s="87" t="s">
        <v>2</v>
      </c>
      <c r="B5" s="145" t="s">
        <v>191</v>
      </c>
    </row>
    <row r="6" spans="1:3">
      <c r="A6" s="87">
        <v>0</v>
      </c>
      <c r="B6" s="87">
        <v>0</v>
      </c>
    </row>
    <row r="7" spans="1:3">
      <c r="A7" s="87">
        <v>1000</v>
      </c>
      <c r="B7" s="138">
        <f>$B$3/((1000*(60*$B$2)/(2*$B$1*$A7))/0.36)</f>
        <v>2.0399999999999998E-2</v>
      </c>
    </row>
    <row r="8" spans="1:3">
      <c r="A8" s="87">
        <v>2000</v>
      </c>
      <c r="B8" s="138">
        <f t="shared" ref="B8:B16" si="0">$B$3/((1000*(60*$B$2)/(2*$B$1*$A8))/0.36)</f>
        <v>4.0799999999999996E-2</v>
      </c>
    </row>
    <row r="9" spans="1:3">
      <c r="A9" s="87">
        <v>3000</v>
      </c>
      <c r="B9" s="138">
        <f t="shared" si="0"/>
        <v>6.1199999999999997E-2</v>
      </c>
    </row>
    <row r="10" spans="1:3">
      <c r="A10" s="87">
        <v>4000</v>
      </c>
      <c r="B10" s="138">
        <f t="shared" si="0"/>
        <v>8.1599999999999992E-2</v>
      </c>
    </row>
    <row r="11" spans="1:3">
      <c r="A11" s="87">
        <v>5000</v>
      </c>
      <c r="B11" s="138">
        <f t="shared" si="0"/>
        <v>0.10199999999999999</v>
      </c>
    </row>
    <row r="12" spans="1:3">
      <c r="A12" s="87">
        <v>6000</v>
      </c>
      <c r="B12" s="138">
        <f t="shared" si="0"/>
        <v>0.12239999999999999</v>
      </c>
    </row>
    <row r="13" spans="1:3">
      <c r="A13" s="87">
        <v>7000</v>
      </c>
      <c r="B13" s="138">
        <f t="shared" si="0"/>
        <v>0.14279999999999998</v>
      </c>
    </row>
    <row r="14" spans="1:3">
      <c r="A14" s="87">
        <v>8000</v>
      </c>
      <c r="B14" s="138">
        <f t="shared" si="0"/>
        <v>0.16319999999999998</v>
      </c>
    </row>
    <row r="15" spans="1:3">
      <c r="A15" s="87">
        <v>9000</v>
      </c>
      <c r="B15" s="138">
        <f t="shared" si="0"/>
        <v>0.18359999999999999</v>
      </c>
    </row>
    <row r="16" spans="1:3">
      <c r="A16" s="87">
        <v>10000</v>
      </c>
      <c r="B16" s="138">
        <f t="shared" si="0"/>
        <v>0.20399999999999999</v>
      </c>
    </row>
    <row r="17" spans="1:2">
      <c r="A17" s="87"/>
      <c r="B17" s="138"/>
    </row>
    <row r="18" spans="1:2">
      <c r="A18" s="87"/>
      <c r="B18" s="138"/>
    </row>
    <row r="19" spans="1:2">
      <c r="A19" s="87"/>
      <c r="B19" s="138"/>
    </row>
    <row r="20" spans="1:2">
      <c r="A20" s="87"/>
      <c r="B20" s="138"/>
    </row>
    <row r="21" spans="1:2">
      <c r="A21" s="87"/>
      <c r="B21" s="138"/>
    </row>
  </sheetData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O51"/>
  <sheetViews>
    <sheetView workbookViewId="0">
      <selection activeCell="E3" sqref="E3"/>
    </sheetView>
  </sheetViews>
  <sheetFormatPr baseColWidth="10" defaultRowHeight="12.75"/>
  <cols>
    <col min="1" max="1" width="3.42578125" customWidth="1"/>
    <col min="2" max="2" width="13.7109375" customWidth="1"/>
    <col min="4" max="4" width="13.140625" bestFit="1" customWidth="1"/>
    <col min="6" max="6" width="15.140625" customWidth="1"/>
    <col min="7" max="7" width="12.5703125" bestFit="1" customWidth="1"/>
    <col min="8" max="8" width="13.140625" bestFit="1" customWidth="1"/>
    <col min="9" max="9" width="8.7109375" customWidth="1"/>
    <col min="10" max="10" width="9.28515625" customWidth="1"/>
    <col min="11" max="11" width="9.5703125" bestFit="1" customWidth="1"/>
    <col min="12" max="12" width="8.5703125" customWidth="1"/>
    <col min="13" max="13" width="6.140625" customWidth="1"/>
    <col min="14" max="14" width="5.85546875" customWidth="1"/>
    <col min="15" max="15" width="7.5703125" bestFit="1" customWidth="1"/>
  </cols>
  <sheetData>
    <row r="1" spans="3:13" ht="29.25" customHeight="1">
      <c r="C1" s="212" t="s">
        <v>28</v>
      </c>
      <c r="D1" s="213" t="s">
        <v>27</v>
      </c>
      <c r="E1" s="213" t="s">
        <v>2</v>
      </c>
      <c r="F1" s="213" t="s">
        <v>26</v>
      </c>
      <c r="G1" s="214" t="s">
        <v>25</v>
      </c>
      <c r="H1" s="217" t="s">
        <v>25</v>
      </c>
      <c r="I1" s="262" t="s">
        <v>79</v>
      </c>
      <c r="J1" s="263"/>
      <c r="K1" s="215" t="s">
        <v>178</v>
      </c>
      <c r="L1" s="215" t="s">
        <v>179</v>
      </c>
      <c r="M1" s="216" t="s">
        <v>195</v>
      </c>
    </row>
    <row r="2" spans="3:13">
      <c r="C2" s="86" t="s">
        <v>29</v>
      </c>
      <c r="D2" s="205" t="s">
        <v>29</v>
      </c>
      <c r="E2" s="205" t="s">
        <v>10</v>
      </c>
      <c r="F2" s="205" t="s">
        <v>9</v>
      </c>
      <c r="G2" s="210" t="s">
        <v>11</v>
      </c>
      <c r="H2" s="210" t="s">
        <v>30</v>
      </c>
      <c r="I2" s="219" t="s">
        <v>11</v>
      </c>
      <c r="J2" s="205" t="s">
        <v>78</v>
      </c>
      <c r="K2" s="86" t="s">
        <v>78</v>
      </c>
      <c r="M2">
        <f>Advance_curve!F5</f>
        <v>50</v>
      </c>
    </row>
    <row r="3" spans="3:13">
      <c r="C3" s="87">
        <v>2</v>
      </c>
      <c r="D3" s="207">
        <v>1</v>
      </c>
      <c r="E3" s="208">
        <v>10000</v>
      </c>
      <c r="F3" s="206">
        <f>(2*$D$3*$E$3)/(60*$C$3)</f>
        <v>166.66666666666666</v>
      </c>
      <c r="G3" s="211">
        <f>1000*(60*$C$3)/(2*$D$3*$E$3)</f>
        <v>6</v>
      </c>
      <c r="H3" s="211">
        <f>1000*60/$E$3</f>
        <v>6</v>
      </c>
      <c r="I3" s="220">
        <f>G3/360</f>
        <v>1.6666666666666666E-2</v>
      </c>
      <c r="J3" s="221">
        <f>G3/0.36</f>
        <v>16.666666666666668</v>
      </c>
      <c r="K3" s="133">
        <v>1884</v>
      </c>
      <c r="L3" s="136">
        <f>K3/J3</f>
        <v>113.03999999999999</v>
      </c>
      <c r="M3" s="136">
        <f>L3-Advance_curve!F5</f>
        <v>63.039999999999992</v>
      </c>
    </row>
    <row r="4" spans="3:13">
      <c r="C4" s="87"/>
      <c r="D4" s="207"/>
      <c r="E4" s="207"/>
      <c r="F4" s="207"/>
      <c r="G4" s="211"/>
      <c r="H4" s="218"/>
      <c r="I4" s="220"/>
      <c r="J4" s="221"/>
    </row>
    <row r="5" spans="3:13">
      <c r="C5" s="87"/>
      <c r="D5" s="207"/>
      <c r="E5" s="209">
        <f>(60*$F$5*$C$3)/(2*$D$3)</f>
        <v>120</v>
      </c>
      <c r="F5" s="208">
        <v>2</v>
      </c>
      <c r="G5" s="211">
        <f>1000*(60*$C$3)/(2*$D$3*$E$5)</f>
        <v>500</v>
      </c>
      <c r="H5" s="211">
        <f>1000*60/$E$5</f>
        <v>500</v>
      </c>
      <c r="I5" s="220">
        <f>G5/360</f>
        <v>1.3888888888888888</v>
      </c>
      <c r="J5" s="221">
        <f>G5/0.36</f>
        <v>1388.8888888888889</v>
      </c>
      <c r="L5" s="160" t="s">
        <v>175</v>
      </c>
    </row>
    <row r="6" spans="3:13">
      <c r="L6" s="159" t="s">
        <v>174</v>
      </c>
    </row>
    <row r="7" spans="3:13">
      <c r="E7" s="95" t="s">
        <v>80</v>
      </c>
      <c r="F7" s="231" t="s">
        <v>81</v>
      </c>
      <c r="G7" s="95" t="s">
        <v>80</v>
      </c>
      <c r="H7" s="95" t="s">
        <v>15</v>
      </c>
      <c r="L7" s="159" t="s">
        <v>177</v>
      </c>
    </row>
    <row r="8" spans="3:13">
      <c r="E8" s="86" t="s">
        <v>78</v>
      </c>
      <c r="G8" s="87" t="s">
        <v>85</v>
      </c>
      <c r="H8" s="87" t="s">
        <v>85</v>
      </c>
    </row>
    <row r="9" spans="3:13" ht="15">
      <c r="E9" s="134">
        <v>60800</v>
      </c>
      <c r="F9" s="234"/>
      <c r="G9" s="88">
        <f>E9/J3</f>
        <v>3647.9999999999995</v>
      </c>
      <c r="H9" s="94">
        <f>Advance_curve!F5 -G9</f>
        <v>-3597.9999999999995</v>
      </c>
      <c r="J9" s="158"/>
    </row>
    <row r="10" spans="3:13" s="166" customFormat="1" ht="15">
      <c r="G10" s="88"/>
      <c r="H10" s="94"/>
      <c r="J10" s="158"/>
    </row>
    <row r="11" spans="3:13">
      <c r="E11" s="45" t="s">
        <v>256</v>
      </c>
      <c r="F11" s="231" t="s">
        <v>81</v>
      </c>
      <c r="G11" s="233" t="s">
        <v>2</v>
      </c>
      <c r="H11" s="94"/>
    </row>
    <row r="12" spans="3:13">
      <c r="E12" s="188">
        <v>21</v>
      </c>
      <c r="F12" s="234" t="s">
        <v>9</v>
      </c>
      <c r="G12" s="232">
        <f>60*E12*$C$3/2*$D$3</f>
        <v>1260</v>
      </c>
      <c r="H12" s="94"/>
      <c r="J12" s="161"/>
    </row>
    <row r="13" spans="3:13" s="166" customFormat="1">
      <c r="G13" s="232"/>
      <c r="H13" s="94"/>
      <c r="J13" s="161"/>
    </row>
    <row r="14" spans="3:13">
      <c r="E14" s="45" t="s">
        <v>257</v>
      </c>
      <c r="F14" s="231" t="s">
        <v>81</v>
      </c>
      <c r="G14" s="233" t="s">
        <v>2</v>
      </c>
      <c r="J14" s="87"/>
    </row>
    <row r="15" spans="3:13" s="166" customFormat="1">
      <c r="E15" s="188">
        <v>20</v>
      </c>
      <c r="F15" s="234" t="s">
        <v>11</v>
      </c>
      <c r="G15" s="232">
        <f>60*(1000/E15)*$C$3/2*$D$3</f>
        <v>3000</v>
      </c>
      <c r="J15" s="87"/>
    </row>
    <row r="16" spans="3:13" ht="13.5" thickBot="1">
      <c r="G16" s="88"/>
    </row>
    <row r="17" spans="2:15">
      <c r="B17" s="3" t="s">
        <v>140</v>
      </c>
      <c r="C17" s="3" t="s">
        <v>12</v>
      </c>
      <c r="D17" s="3" t="s">
        <v>100</v>
      </c>
      <c r="E17" s="3" t="s">
        <v>5</v>
      </c>
      <c r="F17" s="3" t="s">
        <v>6</v>
      </c>
      <c r="G17" s="5" t="s">
        <v>77</v>
      </c>
      <c r="H17" s="78" t="s">
        <v>76</v>
      </c>
      <c r="I17" s="255" t="s">
        <v>75</v>
      </c>
      <c r="J17" s="256"/>
      <c r="K17" s="12" t="s">
        <v>102</v>
      </c>
      <c r="L17" s="255" t="s">
        <v>94</v>
      </c>
      <c r="M17" s="257"/>
      <c r="N17" s="258" t="str">
        <f>IF(O20&gt;0,"Avance","RETARD")</f>
        <v>RETARD</v>
      </c>
      <c r="O17" s="259"/>
    </row>
    <row r="18" spans="2:15">
      <c r="B18" s="125"/>
      <c r="C18" s="125"/>
      <c r="D18" s="125"/>
      <c r="E18" s="4" t="s">
        <v>7</v>
      </c>
      <c r="F18" s="4" t="s">
        <v>8</v>
      </c>
      <c r="G18" s="6"/>
      <c r="H18" s="4"/>
      <c r="I18" s="122"/>
      <c r="J18" s="123"/>
      <c r="K18" s="77" t="s">
        <v>74</v>
      </c>
      <c r="L18" s="122"/>
      <c r="M18" s="14"/>
      <c r="N18" s="260" t="s">
        <v>16</v>
      </c>
      <c r="O18" s="261"/>
    </row>
    <row r="19" spans="2:15" ht="13.5" thickBot="1">
      <c r="B19" s="126"/>
      <c r="C19" s="127" t="s">
        <v>78</v>
      </c>
      <c r="D19" s="126"/>
      <c r="E19" s="4"/>
      <c r="F19" s="4"/>
      <c r="G19" s="6" t="s">
        <v>9</v>
      </c>
      <c r="H19" s="4" t="s">
        <v>10</v>
      </c>
      <c r="I19" s="122" t="s">
        <v>11</v>
      </c>
      <c r="J19" s="123" t="s">
        <v>20</v>
      </c>
      <c r="K19" s="25" t="str">
        <f>IF(K20&gt;127,"erreur","")</f>
        <v/>
      </c>
      <c r="L19" s="15" t="s">
        <v>20</v>
      </c>
      <c r="M19" s="16" t="s">
        <v>11</v>
      </c>
      <c r="N19" s="15" t="s">
        <v>11</v>
      </c>
      <c r="O19" s="24" t="s">
        <v>23</v>
      </c>
    </row>
    <row r="20" spans="2:15" ht="13.5" thickBot="1">
      <c r="B20" s="129">
        <v>4</v>
      </c>
      <c r="C20" s="128">
        <v>20</v>
      </c>
      <c r="D20" s="130">
        <f>Advance_curve!M30</f>
        <v>2</v>
      </c>
      <c r="E20" s="131">
        <v>1</v>
      </c>
      <c r="F20" s="102">
        <f>C3</f>
        <v>2</v>
      </c>
      <c r="G20" s="101">
        <f>F3</f>
        <v>166.66666666666666</v>
      </c>
      <c r="H20" s="7">
        <f>(G20*60*F20)/(2*E20)</f>
        <v>10000</v>
      </c>
      <c r="I20" s="8">
        <f>1000/G20</f>
        <v>6</v>
      </c>
      <c r="J20" s="9">
        <f>1000000/G20</f>
        <v>6000</v>
      </c>
      <c r="K20" s="13">
        <f>INT(J20/($D$20*255))</f>
        <v>11</v>
      </c>
      <c r="L20" s="11">
        <f xml:space="preserve"> ($C$20 *$K$20*$B$20)</f>
        <v>880</v>
      </c>
      <c r="M20" s="17">
        <f>L20/1000</f>
        <v>0.88</v>
      </c>
      <c r="N20" s="18">
        <f>(I20/360)*Advance_curve!F5 - M20</f>
        <v>-4.6666666666666634E-2</v>
      </c>
      <c r="O20" s="23">
        <f>(360/I20)*N20</f>
        <v>-2.799999999999998</v>
      </c>
    </row>
    <row r="21" spans="2:15">
      <c r="G21" s="88"/>
    </row>
    <row r="22" spans="2:15">
      <c r="G22" s="88"/>
    </row>
    <row r="23" spans="2:15">
      <c r="G23" s="88"/>
    </row>
    <row r="24" spans="2:15" ht="15">
      <c r="B24" t="s">
        <v>50</v>
      </c>
      <c r="G24" s="88"/>
      <c r="N24" s="40" t="s">
        <v>176</v>
      </c>
    </row>
    <row r="25" spans="2:15">
      <c r="N25" s="87" t="s">
        <v>78</v>
      </c>
    </row>
    <row r="26" spans="2:15">
      <c r="B26" s="45" t="s">
        <v>65</v>
      </c>
      <c r="H26" s="45" t="s">
        <v>66</v>
      </c>
      <c r="N26" s="146">
        <v>300</v>
      </c>
    </row>
    <row r="27" spans="2:15">
      <c r="B27" s="44" t="s">
        <v>54</v>
      </c>
      <c r="H27" s="44" t="s">
        <v>54</v>
      </c>
    </row>
    <row r="28" spans="2:15">
      <c r="B28" s="44" t="s">
        <v>55</v>
      </c>
      <c r="H28" s="44" t="s">
        <v>55</v>
      </c>
    </row>
    <row r="29" spans="2:15">
      <c r="B29" s="44" t="s">
        <v>56</v>
      </c>
      <c r="H29" s="44" t="s">
        <v>67</v>
      </c>
    </row>
    <row r="30" spans="2:15">
      <c r="B30" s="44" t="s">
        <v>57</v>
      </c>
      <c r="H30" s="44" t="s">
        <v>68</v>
      </c>
    </row>
    <row r="31" spans="2:15">
      <c r="B31" t="s">
        <v>58</v>
      </c>
      <c r="H31" t="s">
        <v>69</v>
      </c>
    </row>
    <row r="32" spans="2:15">
      <c r="B32" s="44" t="s">
        <v>59</v>
      </c>
      <c r="H32" s="44" t="s">
        <v>70</v>
      </c>
    </row>
    <row r="33" spans="2:11">
      <c r="B33" s="44" t="s">
        <v>60</v>
      </c>
      <c r="H33" s="44" t="s">
        <v>73</v>
      </c>
    </row>
    <row r="34" spans="2:11">
      <c r="H34" s="44"/>
    </row>
    <row r="35" spans="2:11">
      <c r="B35" s="44" t="s">
        <v>61</v>
      </c>
      <c r="I35" s="44"/>
    </row>
    <row r="36" spans="2:11">
      <c r="B36" s="44" t="s">
        <v>63</v>
      </c>
      <c r="I36" s="44"/>
    </row>
    <row r="37" spans="2:11">
      <c r="B37" s="44" t="s">
        <v>62</v>
      </c>
      <c r="H37" s="45" t="s">
        <v>71</v>
      </c>
    </row>
    <row r="38" spans="2:11">
      <c r="B38" s="44" t="s">
        <v>64</v>
      </c>
      <c r="H38" s="76" t="s">
        <v>72</v>
      </c>
    </row>
    <row r="41" spans="2:11">
      <c r="B41" s="184" t="s">
        <v>196</v>
      </c>
    </row>
    <row r="42" spans="2:11" ht="13.5" thickBot="1"/>
    <row r="43" spans="2:11">
      <c r="B43" s="177" t="s">
        <v>197</v>
      </c>
      <c r="C43" s="170">
        <v>8</v>
      </c>
      <c r="D43" s="171">
        <v>7</v>
      </c>
      <c r="E43" s="171">
        <v>6</v>
      </c>
      <c r="F43" s="172">
        <v>5</v>
      </c>
      <c r="G43" s="170">
        <v>4</v>
      </c>
      <c r="H43" s="171">
        <v>3</v>
      </c>
      <c r="I43" s="171">
        <v>2</v>
      </c>
      <c r="J43" s="172">
        <v>1</v>
      </c>
      <c r="K43" s="166"/>
    </row>
    <row r="44" spans="2:11">
      <c r="B44" s="178" t="s">
        <v>198</v>
      </c>
      <c r="C44" s="173">
        <v>7</v>
      </c>
      <c r="D44" s="168">
        <v>6</v>
      </c>
      <c r="E44" s="168">
        <v>5</v>
      </c>
      <c r="F44" s="174">
        <v>4</v>
      </c>
      <c r="G44" s="173">
        <v>3</v>
      </c>
      <c r="H44" s="168">
        <v>2</v>
      </c>
      <c r="I44" s="168">
        <v>1</v>
      </c>
      <c r="J44" s="174">
        <v>0</v>
      </c>
      <c r="K44" s="166"/>
    </row>
    <row r="45" spans="2:11">
      <c r="B45" s="178" t="s">
        <v>199</v>
      </c>
      <c r="C45" s="175" t="s">
        <v>200</v>
      </c>
      <c r="D45" s="169" t="s">
        <v>201</v>
      </c>
      <c r="E45" s="169" t="s">
        <v>202</v>
      </c>
      <c r="F45" s="176" t="s">
        <v>203</v>
      </c>
      <c r="G45" s="175" t="s">
        <v>200</v>
      </c>
      <c r="H45" s="169" t="s">
        <v>201</v>
      </c>
      <c r="I45" s="169" t="s">
        <v>202</v>
      </c>
      <c r="J45" s="176" t="s">
        <v>203</v>
      </c>
    </row>
    <row r="46" spans="2:11">
      <c r="B46" s="178" t="s">
        <v>204</v>
      </c>
      <c r="C46" s="173">
        <v>8</v>
      </c>
      <c r="D46" s="168">
        <v>4</v>
      </c>
      <c r="E46" s="168">
        <v>2</v>
      </c>
      <c r="F46" s="174">
        <v>1</v>
      </c>
      <c r="G46" s="173">
        <v>8</v>
      </c>
      <c r="H46" s="168">
        <v>4</v>
      </c>
      <c r="I46" s="168">
        <v>2</v>
      </c>
      <c r="J46" s="174">
        <v>1</v>
      </c>
    </row>
    <row r="47" spans="2:11">
      <c r="B47" s="183" t="s">
        <v>205</v>
      </c>
      <c r="C47" s="179">
        <v>0</v>
      </c>
      <c r="D47" s="180">
        <v>1</v>
      </c>
      <c r="E47" s="180">
        <v>1</v>
      </c>
      <c r="F47" s="181">
        <v>0</v>
      </c>
      <c r="G47" s="179">
        <v>1</v>
      </c>
      <c r="H47" s="180">
        <v>0</v>
      </c>
      <c r="I47" s="180">
        <v>1</v>
      </c>
      <c r="J47" s="181">
        <v>1</v>
      </c>
    </row>
    <row r="48" spans="2:11">
      <c r="B48" s="178" t="s">
        <v>206</v>
      </c>
      <c r="C48" s="173">
        <f>C47*C46</f>
        <v>0</v>
      </c>
      <c r="D48" s="168">
        <f t="shared" ref="D48:J48" si="0">D47*D46</f>
        <v>4</v>
      </c>
      <c r="E48" s="168">
        <f t="shared" si="0"/>
        <v>2</v>
      </c>
      <c r="F48" s="174">
        <f t="shared" si="0"/>
        <v>0</v>
      </c>
      <c r="G48" s="173">
        <f t="shared" si="0"/>
        <v>8</v>
      </c>
      <c r="H48" s="168">
        <f t="shared" si="0"/>
        <v>0</v>
      </c>
      <c r="I48" s="168">
        <f t="shared" si="0"/>
        <v>2</v>
      </c>
      <c r="J48" s="174">
        <f t="shared" si="0"/>
        <v>1</v>
      </c>
    </row>
    <row r="49" spans="2:10">
      <c r="B49" s="178" t="s">
        <v>208</v>
      </c>
      <c r="C49" s="249">
        <f>C48+D48+E48+F48</f>
        <v>6</v>
      </c>
      <c r="D49" s="250"/>
      <c r="E49" s="250"/>
      <c r="F49" s="251"/>
      <c r="G49" s="249">
        <f>G48+H48+I48+J48</f>
        <v>11</v>
      </c>
      <c r="H49" s="250"/>
      <c r="I49" s="250"/>
      <c r="J49" s="251"/>
    </row>
    <row r="50" spans="2:10">
      <c r="B50" s="178" t="s">
        <v>207</v>
      </c>
      <c r="C50" s="249" t="str">
        <f>DEC2HEX(C49)</f>
        <v>6</v>
      </c>
      <c r="D50" s="250"/>
      <c r="E50" s="250"/>
      <c r="F50" s="251"/>
      <c r="G50" s="249" t="str">
        <f>DEC2HEX(G49)</f>
        <v>B</v>
      </c>
      <c r="H50" s="250"/>
      <c r="I50" s="250"/>
      <c r="J50" s="251"/>
    </row>
    <row r="51" spans="2:10" ht="15.75" thickBot="1">
      <c r="B51" s="182" t="s">
        <v>209</v>
      </c>
      <c r="C51" s="252" t="str">
        <f>CONCATENATE(C50,G50)</f>
        <v>6B</v>
      </c>
      <c r="D51" s="253"/>
      <c r="E51" s="253"/>
      <c r="F51" s="253"/>
      <c r="G51" s="253"/>
      <c r="H51" s="253"/>
      <c r="I51" s="253"/>
      <c r="J51" s="254"/>
    </row>
  </sheetData>
  <mergeCells count="10">
    <mergeCell ref="I17:J17"/>
    <mergeCell ref="L17:M17"/>
    <mergeCell ref="N17:O17"/>
    <mergeCell ref="N18:O18"/>
    <mergeCell ref="I1:J1"/>
    <mergeCell ref="C49:F49"/>
    <mergeCell ref="G49:J49"/>
    <mergeCell ref="G50:J50"/>
    <mergeCell ref="C50:F50"/>
    <mergeCell ref="C51:J51"/>
  </mergeCells>
  <dataValidations disablePrompts="1" count="1">
    <dataValidation type="list" allowBlank="1" showInputMessage="1" showErrorMessage="1" sqref="B20" xr:uid="{00000000-0002-0000-0700-000000000000}">
      <formula1>"1,2,4,8"</formula1>
    </dataValidation>
  </dataValidations>
  <hyperlinks>
    <hyperlink ref="H38" r:id="rId1" xr:uid="{00000000-0004-0000-0700-000000000000}"/>
  </hyperlinks>
  <pageMargins left="0.7" right="0.7" top="0.75" bottom="0.75" header="0.3" footer="0.3"/>
  <pageSetup paperSize="9" orientation="portrait"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greaterThan" id="{7869108F-645D-4F39-980E-8E40CF896981}">
            <xm:f>Advance_curve!$F$5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L3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F38"/>
  <sheetViews>
    <sheetView workbookViewId="0"/>
  </sheetViews>
  <sheetFormatPr baseColWidth="10" defaultRowHeight="12.75"/>
  <sheetData>
    <row r="2" spans="1:1">
      <c r="A2" s="97" t="s">
        <v>132</v>
      </c>
    </row>
    <row r="3" spans="1:1">
      <c r="A3" s="97" t="s">
        <v>133</v>
      </c>
    </row>
    <row r="4" spans="1:1">
      <c r="A4" s="97" t="s">
        <v>134</v>
      </c>
    </row>
    <row r="5" spans="1:1">
      <c r="A5" s="97" t="s">
        <v>135</v>
      </c>
    </row>
    <row r="6" spans="1:1">
      <c r="A6" s="97" t="s">
        <v>136</v>
      </c>
    </row>
    <row r="7" spans="1:1">
      <c r="A7" s="97" t="s">
        <v>137</v>
      </c>
    </row>
    <row r="8" spans="1:1">
      <c r="A8" s="97"/>
    </row>
    <row r="9" spans="1:1">
      <c r="A9" s="97" t="s">
        <v>138</v>
      </c>
    </row>
    <row r="10" spans="1:1">
      <c r="A10" s="97"/>
    </row>
    <row r="11" spans="1:1">
      <c r="A11" t="s">
        <v>88</v>
      </c>
    </row>
    <row r="12" spans="1:1">
      <c r="A12" t="s">
        <v>125</v>
      </c>
    </row>
    <row r="13" spans="1:1">
      <c r="A13" t="s">
        <v>87</v>
      </c>
    </row>
    <row r="14" spans="1:1">
      <c r="A14" s="97" t="s">
        <v>139</v>
      </c>
    </row>
    <row r="15" spans="1:1">
      <c r="A15" s="97"/>
    </row>
    <row r="16" spans="1:1">
      <c r="A16" s="97" t="s">
        <v>128</v>
      </c>
    </row>
    <row r="17" spans="1:6">
      <c r="A17" s="97" t="s">
        <v>129</v>
      </c>
    </row>
    <row r="18" spans="1:6">
      <c r="A18" s="97" t="s">
        <v>126</v>
      </c>
    </row>
    <row r="19" spans="1:6">
      <c r="A19" s="97" t="s">
        <v>127</v>
      </c>
    </row>
    <row r="20" spans="1:6">
      <c r="A20" s="97" t="s">
        <v>130</v>
      </c>
    </row>
    <row r="21" spans="1:6">
      <c r="A21" s="97" t="s">
        <v>131</v>
      </c>
    </row>
    <row r="22" spans="1:6">
      <c r="A22" s="97"/>
    </row>
    <row r="23" spans="1:6">
      <c r="A23" t="s">
        <v>86</v>
      </c>
    </row>
    <row r="26" spans="1:6">
      <c r="F26" s="44" t="s">
        <v>89</v>
      </c>
    </row>
    <row r="27" spans="1:6">
      <c r="F27" s="44" t="s">
        <v>90</v>
      </c>
    </row>
    <row r="28" spans="1:6">
      <c r="F28" s="44" t="s">
        <v>91</v>
      </c>
    </row>
    <row r="38" spans="1:1">
      <c r="A38" t="s">
        <v>124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1</vt:i4>
      </vt:variant>
    </vt:vector>
  </HeadingPairs>
  <TitlesOfParts>
    <vt:vector size="14" baseType="lpstr">
      <vt:lpstr>README</vt:lpstr>
      <vt:lpstr>Advance_curve</vt:lpstr>
      <vt:lpstr>advance_at_lowRPM</vt:lpstr>
      <vt:lpstr>VeryLowRPM</vt:lpstr>
      <vt:lpstr>EEPROM8</vt:lpstr>
      <vt:lpstr>EEPROM16</vt:lpstr>
      <vt:lpstr>Accuracy</vt:lpstr>
      <vt:lpstr>formules</vt:lpstr>
      <vt:lpstr>Calculs</vt:lpstr>
      <vt:lpstr>Excel</vt:lpstr>
      <vt:lpstr>calibrage</vt:lpstr>
      <vt:lpstr>Dwell variable</vt:lpstr>
      <vt:lpstr>Version</vt:lpstr>
      <vt:lpstr>choix_prescaler</vt:lpstr>
    </vt:vector>
  </TitlesOfParts>
  <Company>cdi_project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 16f828-16f84</dc:title>
  <dc:creator>www.transmic.net</dc:creator>
  <cp:lastModifiedBy>Thierry</cp:lastModifiedBy>
  <cp:lastPrinted>2004-06-12T15:59:47Z</cp:lastPrinted>
  <dcterms:created xsi:type="dcterms:W3CDTF">2003-06-11T09:10:19Z</dcterms:created>
  <dcterms:modified xsi:type="dcterms:W3CDTF">2022-03-14T10:22:45Z</dcterms:modified>
</cp:coreProperties>
</file>